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ity of Petersburg\Fund 100\Quarterly Budget to Actuals FY22\"/>
    </mc:Choice>
  </mc:AlternateContent>
  <xr:revisionPtr revIDLastSave="0" documentId="13_ncr:1_{7B209761-9E2F-47C9-B67E-E1330A39A1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D BAL" sheetId="1" r:id="rId1"/>
    <sheet name="GEN FUND" sheetId="2" r:id="rId2"/>
    <sheet name="DEPT EXP" sheetId="3" r:id="rId3"/>
    <sheet name="APPROP SUPP" sheetId="8" state="hidden" r:id="rId4"/>
    <sheet name="appropriation adj" sheetId="11" state="hidden" r:id="rId5"/>
  </sheets>
  <definedNames>
    <definedName name="_xlnm.Print_Area" localSheetId="4">'appropriation adj'!$A$1:$R$72</definedName>
    <definedName name="_xlnm.Print_Area" localSheetId="2">'DEPT EXP'!$A$1:$M$53</definedName>
    <definedName name="_xlnm.Print_Area" localSheetId="0">'FUND BAL'!$A$1:$K$31</definedName>
    <definedName name="_xlnm.Print_Area" localSheetId="1">'GEN FUND'!$A$2:$H$177</definedName>
    <definedName name="_xlnm.Print_Titles" localSheetId="4">'appropriation adj'!$A:$B</definedName>
    <definedName name="_xlnm.Print_Titles" localSheetId="0">'FUND BAL'!$A:$B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7" i="2" l="1"/>
  <c r="H117" i="2" s="1"/>
  <c r="E117" i="2"/>
  <c r="F28" i="3"/>
  <c r="E28" i="3"/>
  <c r="O12" i="1" l="1"/>
  <c r="P12" i="1" s="1"/>
  <c r="L12" i="1"/>
  <c r="G12" i="1"/>
  <c r="B113" i="2" l="1"/>
  <c r="B96" i="2" l="1"/>
  <c r="E43" i="2"/>
  <c r="G43" i="2" s="1"/>
  <c r="H43" i="2" s="1"/>
  <c r="E40" i="2"/>
  <c r="G40" i="2" s="1"/>
  <c r="H40" i="2" s="1"/>
  <c r="G50" i="2"/>
  <c r="H50" i="2" s="1"/>
  <c r="E50" i="2"/>
  <c r="B134" i="2"/>
  <c r="I36" i="3"/>
  <c r="J36" i="3" s="1"/>
  <c r="G36" i="3"/>
  <c r="E127" i="2"/>
  <c r="G127" i="2" s="1"/>
  <c r="H127" i="2" s="1"/>
  <c r="E46" i="2"/>
  <c r="G46" i="2" s="1"/>
  <c r="H46" i="2" s="1"/>
  <c r="G152" i="2"/>
  <c r="H152" i="2" s="1"/>
  <c r="E152" i="2"/>
  <c r="E151" i="2"/>
  <c r="G151" i="2" s="1"/>
  <c r="H151" i="2" s="1"/>
  <c r="G99" i="2"/>
  <c r="H99" i="2" s="1"/>
  <c r="E99" i="2"/>
  <c r="G98" i="2"/>
  <c r="H98" i="2" s="1"/>
  <c r="E98" i="2"/>
  <c r="E97" i="2"/>
  <c r="G97" i="2" s="1"/>
  <c r="H97" i="2" s="1"/>
  <c r="E129" i="2"/>
  <c r="G129" i="2"/>
  <c r="H129" i="2" s="1"/>
  <c r="E130" i="2"/>
  <c r="G130" i="2"/>
  <c r="H130" i="2" s="1"/>
  <c r="E120" i="2"/>
  <c r="G120" i="2"/>
  <c r="H120" i="2" s="1"/>
  <c r="E112" i="2"/>
  <c r="G112" i="2" s="1"/>
  <c r="H112" i="2" s="1"/>
  <c r="E111" i="2"/>
  <c r="G111" i="2" s="1"/>
  <c r="H111" i="2" s="1"/>
  <c r="E110" i="2"/>
  <c r="G110" i="2" s="1"/>
  <c r="H110" i="2" s="1"/>
  <c r="E101" i="2"/>
  <c r="G101" i="2"/>
  <c r="H101" i="2" s="1"/>
  <c r="E89" i="2"/>
  <c r="G89" i="2" s="1"/>
  <c r="H89" i="2" s="1"/>
  <c r="E85" i="2"/>
  <c r="F85" i="2" s="1"/>
  <c r="G85" i="2" s="1"/>
  <c r="H85" i="2" s="1"/>
  <c r="G77" i="2"/>
  <c r="H77" i="2" s="1"/>
  <c r="E77" i="2"/>
  <c r="G76" i="2"/>
  <c r="H76" i="2" s="1"/>
  <c r="E76" i="2"/>
  <c r="I26" i="3"/>
  <c r="G26" i="3"/>
  <c r="F53" i="3"/>
  <c r="J26" i="3" l="1"/>
  <c r="D53" i="3" l="1"/>
  <c r="B33" i="2"/>
  <c r="B172" i="2"/>
  <c r="G139" i="2"/>
  <c r="H139" i="2" s="1"/>
  <c r="G92" i="2"/>
  <c r="H92" i="2" s="1"/>
  <c r="G81" i="2"/>
  <c r="H81" i="2" s="1"/>
  <c r="G25" i="2"/>
  <c r="G26" i="2"/>
  <c r="E36" i="2"/>
  <c r="F36" i="2" s="1"/>
  <c r="G36" i="2" s="1"/>
  <c r="H36" i="2" s="1"/>
  <c r="E37" i="2"/>
  <c r="F37" i="2" s="1"/>
  <c r="G37" i="2" s="1"/>
  <c r="H37" i="2" s="1"/>
  <c r="E38" i="2"/>
  <c r="F38" i="2" s="1"/>
  <c r="E39" i="2"/>
  <c r="F39" i="2" s="1"/>
  <c r="G39" i="2" s="1"/>
  <c r="H39" i="2" s="1"/>
  <c r="E41" i="2"/>
  <c r="F41" i="2" s="1"/>
  <c r="E42" i="2"/>
  <c r="F42" i="2" s="1"/>
  <c r="G42" i="2" s="1"/>
  <c r="H42" i="2" s="1"/>
  <c r="E44" i="2"/>
  <c r="F44" i="2" s="1"/>
  <c r="G44" i="2" s="1"/>
  <c r="E45" i="2"/>
  <c r="F45" i="2" s="1"/>
  <c r="G45" i="2" s="1"/>
  <c r="H45" i="2" s="1"/>
  <c r="E47" i="2"/>
  <c r="F47" i="2" s="1"/>
  <c r="G47" i="2" s="1"/>
  <c r="E48" i="2"/>
  <c r="F48" i="2" s="1"/>
  <c r="G48" i="2" s="1"/>
  <c r="H48" i="2" s="1"/>
  <c r="E49" i="2"/>
  <c r="F49" i="2" s="1"/>
  <c r="E51" i="2"/>
  <c r="F51" i="2" s="1"/>
  <c r="G51" i="2" s="1"/>
  <c r="H51" i="2" s="1"/>
  <c r="E52" i="2"/>
  <c r="F52" i="2" s="1"/>
  <c r="E53" i="2"/>
  <c r="F53" i="2" s="1"/>
  <c r="G53" i="2" s="1"/>
  <c r="H53" i="2" s="1"/>
  <c r="E54" i="2"/>
  <c r="F54" i="2" s="1"/>
  <c r="G54" i="2" s="1"/>
  <c r="E55" i="2"/>
  <c r="F55" i="2" s="1"/>
  <c r="G55" i="2" s="1"/>
  <c r="H55" i="2" s="1"/>
  <c r="E56" i="2"/>
  <c r="F56" i="2" s="1"/>
  <c r="G56" i="2" s="1"/>
  <c r="E57" i="2"/>
  <c r="F57" i="2" s="1"/>
  <c r="G57" i="2" s="1"/>
  <c r="H57" i="2" s="1"/>
  <c r="E58" i="2"/>
  <c r="F58" i="2" s="1"/>
  <c r="E59" i="2"/>
  <c r="F59" i="2" s="1"/>
  <c r="G59" i="2" s="1"/>
  <c r="H59" i="2" s="1"/>
  <c r="E60" i="2"/>
  <c r="F60" i="2" s="1"/>
  <c r="E61" i="2"/>
  <c r="F61" i="2" s="1"/>
  <c r="G61" i="2" s="1"/>
  <c r="H61" i="2" s="1"/>
  <c r="E62" i="2"/>
  <c r="F62" i="2" s="1"/>
  <c r="G62" i="2" s="1"/>
  <c r="E63" i="2"/>
  <c r="F63" i="2" s="1"/>
  <c r="G63" i="2" s="1"/>
  <c r="H63" i="2" s="1"/>
  <c r="E64" i="2"/>
  <c r="F64" i="2" s="1"/>
  <c r="G64" i="2" s="1"/>
  <c r="E65" i="2"/>
  <c r="F65" i="2" s="1"/>
  <c r="G65" i="2" s="1"/>
  <c r="H65" i="2" s="1"/>
  <c r="E66" i="2"/>
  <c r="F66" i="2" s="1"/>
  <c r="E67" i="2"/>
  <c r="F67" i="2" s="1"/>
  <c r="G67" i="2" s="1"/>
  <c r="H67" i="2" s="1"/>
  <c r="E68" i="2"/>
  <c r="F68" i="2" s="1"/>
  <c r="E69" i="2"/>
  <c r="F69" i="2" s="1"/>
  <c r="G69" i="2" s="1"/>
  <c r="H69" i="2" s="1"/>
  <c r="E70" i="2"/>
  <c r="F70" i="2" s="1"/>
  <c r="G70" i="2" s="1"/>
  <c r="D172" i="2"/>
  <c r="C172" i="2"/>
  <c r="E122" i="2"/>
  <c r="F122" i="2" s="1"/>
  <c r="G122" i="2" s="1"/>
  <c r="H122" i="2" s="1"/>
  <c r="E121" i="2"/>
  <c r="F121" i="2" s="1"/>
  <c r="G121" i="2" s="1"/>
  <c r="H121" i="2" s="1"/>
  <c r="E114" i="2"/>
  <c r="F114" i="2" s="1"/>
  <c r="G114" i="2" s="1"/>
  <c r="H114" i="2" s="1"/>
  <c r="E113" i="2"/>
  <c r="F113" i="2" s="1"/>
  <c r="G113" i="2" s="1"/>
  <c r="H113" i="2" s="1"/>
  <c r="E108" i="2"/>
  <c r="F108" i="2" s="1"/>
  <c r="G108" i="2" s="1"/>
  <c r="H108" i="2" s="1"/>
  <c r="E104" i="2"/>
  <c r="F104" i="2" s="1"/>
  <c r="G104" i="2" s="1"/>
  <c r="H104" i="2" s="1"/>
  <c r="E103" i="2"/>
  <c r="F103" i="2" s="1"/>
  <c r="G103" i="2" s="1"/>
  <c r="H103" i="2" s="1"/>
  <c r="E102" i="2"/>
  <c r="F102" i="2" s="1"/>
  <c r="G102" i="2" s="1"/>
  <c r="H102" i="2" s="1"/>
  <c r="E100" i="2"/>
  <c r="F100" i="2" s="1"/>
  <c r="G100" i="2" s="1"/>
  <c r="H100" i="2" s="1"/>
  <c r="E96" i="2"/>
  <c r="F96" i="2" s="1"/>
  <c r="G96" i="2" s="1"/>
  <c r="H96" i="2" s="1"/>
  <c r="E86" i="2"/>
  <c r="F86" i="2" s="1"/>
  <c r="G86" i="2" s="1"/>
  <c r="H86" i="2" s="1"/>
  <c r="E84" i="2"/>
  <c r="F84" i="2" s="1"/>
  <c r="G84" i="2" s="1"/>
  <c r="H84" i="2" s="1"/>
  <c r="E79" i="2"/>
  <c r="F79" i="2" s="1"/>
  <c r="G79" i="2" s="1"/>
  <c r="H79" i="2" s="1"/>
  <c r="E78" i="2"/>
  <c r="F78" i="2" s="1"/>
  <c r="G78" i="2" s="1"/>
  <c r="H78" i="2" s="1"/>
  <c r="Z24" i="1"/>
  <c r="Y24" i="1"/>
  <c r="Z27" i="1" s="1"/>
  <c r="X24" i="1"/>
  <c r="V24" i="1"/>
  <c r="U24" i="1"/>
  <c r="T24" i="1"/>
  <c r="S24" i="1"/>
  <c r="R24" i="1"/>
  <c r="Q24" i="1"/>
  <c r="N24" i="1"/>
  <c r="M24" i="1"/>
  <c r="K24" i="1"/>
  <c r="J24" i="1"/>
  <c r="I24" i="1"/>
  <c r="H24" i="1"/>
  <c r="F24" i="1"/>
  <c r="E24" i="1"/>
  <c r="D24" i="1"/>
  <c r="C24" i="1"/>
  <c r="L23" i="1"/>
  <c r="AA22" i="1"/>
  <c r="O22" i="1"/>
  <c r="P22" i="1" s="1"/>
  <c r="W22" i="1" s="1"/>
  <c r="AB22" i="1" s="1"/>
  <c r="L22" i="1"/>
  <c r="AA21" i="1"/>
  <c r="O21" i="1"/>
  <c r="P21" i="1" s="1"/>
  <c r="W21" i="1" s="1"/>
  <c r="L21" i="1"/>
  <c r="AA20" i="1"/>
  <c r="O20" i="1"/>
  <c r="P20" i="1" s="1"/>
  <c r="W20" i="1" s="1"/>
  <c r="L20" i="1"/>
  <c r="AA19" i="1"/>
  <c r="O19" i="1"/>
  <c r="P19" i="1" s="1"/>
  <c r="W19" i="1" s="1"/>
  <c r="L19" i="1"/>
  <c r="AA18" i="1"/>
  <c r="O18" i="1"/>
  <c r="P18" i="1" s="1"/>
  <c r="W18" i="1" s="1"/>
  <c r="L18" i="1"/>
  <c r="G18" i="1"/>
  <c r="AA17" i="1"/>
  <c r="O17" i="1"/>
  <c r="P17" i="1" s="1"/>
  <c r="W17" i="1" s="1"/>
  <c r="L17" i="1"/>
  <c r="G17" i="1"/>
  <c r="O16" i="1"/>
  <c r="P16" i="1" s="1"/>
  <c r="L16" i="1"/>
  <c r="G16" i="1"/>
  <c r="O15" i="1"/>
  <c r="P15" i="1" s="1"/>
  <c r="L15" i="1"/>
  <c r="G15" i="1"/>
  <c r="O14" i="1"/>
  <c r="P14" i="1" s="1"/>
  <c r="L14" i="1"/>
  <c r="G14" i="1"/>
  <c r="O13" i="1"/>
  <c r="P13" i="1" s="1"/>
  <c r="L13" i="1"/>
  <c r="G13" i="1"/>
  <c r="O11" i="1"/>
  <c r="P11" i="1" s="1"/>
  <c r="L11" i="1"/>
  <c r="G11" i="1"/>
  <c r="AA10" i="1"/>
  <c r="O10" i="1"/>
  <c r="P10" i="1" s="1"/>
  <c r="W10" i="1" s="1"/>
  <c r="L10" i="1"/>
  <c r="G10" i="1"/>
  <c r="AA9" i="1"/>
  <c r="O9" i="1"/>
  <c r="L9" i="1"/>
  <c r="G9" i="1"/>
  <c r="AB20" i="1" l="1"/>
  <c r="AA24" i="1"/>
  <c r="AB19" i="1"/>
  <c r="AB10" i="1"/>
  <c r="AB21" i="1"/>
  <c r="AB17" i="1"/>
  <c r="AB18" i="1"/>
  <c r="G24" i="1"/>
  <c r="O24" i="1"/>
  <c r="L24" i="1"/>
  <c r="B174" i="2"/>
  <c r="G66" i="2"/>
  <c r="H66" i="2" s="1"/>
  <c r="G38" i="2"/>
  <c r="H38" i="2" s="1"/>
  <c r="G58" i="2"/>
  <c r="H58" i="2" s="1"/>
  <c r="G41" i="2"/>
  <c r="H41" i="2" s="1"/>
  <c r="G52" i="2"/>
  <c r="H52" i="2" s="1"/>
  <c r="G68" i="2"/>
  <c r="H68" i="2" s="1"/>
  <c r="G60" i="2"/>
  <c r="H60" i="2" s="1"/>
  <c r="G49" i="2"/>
  <c r="H49" i="2" s="1"/>
  <c r="H70" i="2"/>
  <c r="H62" i="2"/>
  <c r="H54" i="2"/>
  <c r="H44" i="2"/>
  <c r="H64" i="2"/>
  <c r="H56" i="2"/>
  <c r="H47" i="2"/>
  <c r="P9" i="1"/>
  <c r="P24" i="1" l="1"/>
  <c r="W24" i="1" s="1"/>
  <c r="AB24" i="1" s="1"/>
  <c r="W9" i="1"/>
  <c r="AB9" i="1" s="1"/>
  <c r="E72" i="2" l="1"/>
  <c r="F72" i="2" s="1"/>
  <c r="E73" i="2"/>
  <c r="F73" i="2" s="1"/>
  <c r="E74" i="2"/>
  <c r="F74" i="2" s="1"/>
  <c r="E75" i="2"/>
  <c r="F75" i="2" s="1"/>
  <c r="E80" i="2"/>
  <c r="F80" i="2" s="1"/>
  <c r="G80" i="2" s="1"/>
  <c r="H80" i="2" s="1"/>
  <c r="E81" i="2"/>
  <c r="E83" i="2"/>
  <c r="F83" i="2" s="1"/>
  <c r="G83" i="2" s="1"/>
  <c r="H83" i="2" s="1"/>
  <c r="E87" i="2"/>
  <c r="F87" i="2" s="1"/>
  <c r="G87" i="2" s="1"/>
  <c r="H87" i="2" s="1"/>
  <c r="E88" i="2"/>
  <c r="F88" i="2" s="1"/>
  <c r="G88" i="2" s="1"/>
  <c r="H88" i="2" s="1"/>
  <c r="E90" i="2"/>
  <c r="F90" i="2" s="1"/>
  <c r="G90" i="2" s="1"/>
  <c r="H90" i="2" s="1"/>
  <c r="E91" i="2"/>
  <c r="F91" i="2" s="1"/>
  <c r="G91" i="2" s="1"/>
  <c r="H91" i="2" s="1"/>
  <c r="E92" i="2"/>
  <c r="E93" i="2"/>
  <c r="F93" i="2" s="1"/>
  <c r="G93" i="2" s="1"/>
  <c r="H93" i="2" s="1"/>
  <c r="E94" i="2"/>
  <c r="F94" i="2" s="1"/>
  <c r="G94" i="2" s="1"/>
  <c r="H94" i="2" s="1"/>
  <c r="E95" i="2"/>
  <c r="F95" i="2" s="1"/>
  <c r="G95" i="2" s="1"/>
  <c r="H95" i="2" s="1"/>
  <c r="E105" i="2"/>
  <c r="F105" i="2" s="1"/>
  <c r="G105" i="2" s="1"/>
  <c r="H105" i="2" s="1"/>
  <c r="E106" i="2"/>
  <c r="F106" i="2" s="1"/>
  <c r="G106" i="2" s="1"/>
  <c r="H106" i="2" s="1"/>
  <c r="E107" i="2"/>
  <c r="F107" i="2" s="1"/>
  <c r="G107" i="2" s="1"/>
  <c r="H107" i="2" s="1"/>
  <c r="E109" i="2"/>
  <c r="F109" i="2" s="1"/>
  <c r="G109" i="2" s="1"/>
  <c r="H109" i="2" s="1"/>
  <c r="E115" i="2"/>
  <c r="F115" i="2" s="1"/>
  <c r="G115" i="2" s="1"/>
  <c r="H115" i="2" s="1"/>
  <c r="E116" i="2"/>
  <c r="F116" i="2" s="1"/>
  <c r="G116" i="2" s="1"/>
  <c r="H116" i="2" s="1"/>
  <c r="E118" i="2"/>
  <c r="F118" i="2" s="1"/>
  <c r="G118" i="2" s="1"/>
  <c r="H118" i="2" s="1"/>
  <c r="E119" i="2"/>
  <c r="F119" i="2" s="1"/>
  <c r="G119" i="2" s="1"/>
  <c r="H119" i="2" s="1"/>
  <c r="E123" i="2"/>
  <c r="F123" i="2" s="1"/>
  <c r="G123" i="2" s="1"/>
  <c r="H123" i="2" s="1"/>
  <c r="E124" i="2"/>
  <c r="F124" i="2" s="1"/>
  <c r="G124" i="2" s="1"/>
  <c r="H124" i="2" s="1"/>
  <c r="E125" i="2"/>
  <c r="F125" i="2" s="1"/>
  <c r="G125" i="2" s="1"/>
  <c r="H125" i="2" s="1"/>
  <c r="E126" i="2"/>
  <c r="F126" i="2" s="1"/>
  <c r="G126" i="2" s="1"/>
  <c r="H126" i="2" s="1"/>
  <c r="E128" i="2"/>
  <c r="F128" i="2" s="1"/>
  <c r="G128" i="2" s="1"/>
  <c r="H128" i="2" s="1"/>
  <c r="E131" i="2"/>
  <c r="F131" i="2" s="1"/>
  <c r="G131" i="2" s="1"/>
  <c r="H131" i="2" s="1"/>
  <c r="E132" i="2"/>
  <c r="F132" i="2" s="1"/>
  <c r="G132" i="2" s="1"/>
  <c r="H132" i="2" s="1"/>
  <c r="E133" i="2"/>
  <c r="F133" i="2" s="1"/>
  <c r="G133" i="2" s="1"/>
  <c r="H133" i="2" s="1"/>
  <c r="E134" i="2"/>
  <c r="F134" i="2" s="1"/>
  <c r="G134" i="2" s="1"/>
  <c r="H134" i="2" s="1"/>
  <c r="E135" i="2"/>
  <c r="F135" i="2" s="1"/>
  <c r="G135" i="2" s="1"/>
  <c r="H135" i="2" s="1"/>
  <c r="E136" i="2"/>
  <c r="F136" i="2" s="1"/>
  <c r="G136" i="2" s="1"/>
  <c r="H136" i="2" s="1"/>
  <c r="E137" i="2"/>
  <c r="F137" i="2" s="1"/>
  <c r="G137" i="2" s="1"/>
  <c r="H137" i="2" s="1"/>
  <c r="E138" i="2"/>
  <c r="F138" i="2" s="1"/>
  <c r="G138" i="2" s="1"/>
  <c r="H138" i="2" s="1"/>
  <c r="E139" i="2"/>
  <c r="E140" i="2"/>
  <c r="F140" i="2" s="1"/>
  <c r="G140" i="2" s="1"/>
  <c r="H140" i="2" s="1"/>
  <c r="E141" i="2"/>
  <c r="F141" i="2" s="1"/>
  <c r="G141" i="2" s="1"/>
  <c r="H141" i="2" s="1"/>
  <c r="E142" i="2"/>
  <c r="F142" i="2" s="1"/>
  <c r="G142" i="2" s="1"/>
  <c r="H142" i="2" s="1"/>
  <c r="E143" i="2"/>
  <c r="F143" i="2" s="1"/>
  <c r="G143" i="2" s="1"/>
  <c r="H143" i="2" s="1"/>
  <c r="E144" i="2"/>
  <c r="F144" i="2" s="1"/>
  <c r="G144" i="2" s="1"/>
  <c r="H144" i="2" s="1"/>
  <c r="E145" i="2"/>
  <c r="F145" i="2" s="1"/>
  <c r="G145" i="2" s="1"/>
  <c r="H145" i="2" s="1"/>
  <c r="E146" i="2"/>
  <c r="F146" i="2" s="1"/>
  <c r="G146" i="2" s="1"/>
  <c r="H146" i="2" s="1"/>
  <c r="E147" i="2"/>
  <c r="F147" i="2" s="1"/>
  <c r="G147" i="2" s="1"/>
  <c r="H147" i="2" s="1"/>
  <c r="E148" i="2"/>
  <c r="F148" i="2" s="1"/>
  <c r="G148" i="2" s="1"/>
  <c r="H148" i="2" s="1"/>
  <c r="E149" i="2"/>
  <c r="F149" i="2" s="1"/>
  <c r="G149" i="2" s="1"/>
  <c r="H149" i="2" s="1"/>
  <c r="E150" i="2"/>
  <c r="F150" i="2" s="1"/>
  <c r="G150" i="2" s="1"/>
  <c r="H150" i="2" s="1"/>
  <c r="E153" i="2"/>
  <c r="F153" i="2" s="1"/>
  <c r="G153" i="2" s="1"/>
  <c r="H153" i="2" s="1"/>
  <c r="E154" i="2"/>
  <c r="F154" i="2" s="1"/>
  <c r="G154" i="2" s="1"/>
  <c r="H154" i="2" s="1"/>
  <c r="E155" i="2"/>
  <c r="F155" i="2" s="1"/>
  <c r="G155" i="2" s="1"/>
  <c r="H155" i="2" s="1"/>
  <c r="E156" i="2"/>
  <c r="F156" i="2" s="1"/>
  <c r="G156" i="2" s="1"/>
  <c r="H156" i="2" s="1"/>
  <c r="E157" i="2"/>
  <c r="F157" i="2" s="1"/>
  <c r="G157" i="2" s="1"/>
  <c r="H157" i="2" s="1"/>
  <c r="E158" i="2"/>
  <c r="F158" i="2" s="1"/>
  <c r="G158" i="2" s="1"/>
  <c r="H158" i="2" s="1"/>
  <c r="E159" i="2"/>
  <c r="F159" i="2" s="1"/>
  <c r="G159" i="2" s="1"/>
  <c r="H159" i="2" s="1"/>
  <c r="E160" i="2"/>
  <c r="F160" i="2" s="1"/>
  <c r="G160" i="2" s="1"/>
  <c r="H160" i="2" s="1"/>
  <c r="E161" i="2"/>
  <c r="F161" i="2" s="1"/>
  <c r="G161" i="2" s="1"/>
  <c r="H161" i="2" s="1"/>
  <c r="E162" i="2"/>
  <c r="F162" i="2" s="1"/>
  <c r="G162" i="2" s="1"/>
  <c r="H162" i="2" s="1"/>
  <c r="E163" i="2"/>
  <c r="F163" i="2" s="1"/>
  <c r="G163" i="2" s="1"/>
  <c r="H163" i="2" s="1"/>
  <c r="E164" i="2"/>
  <c r="F164" i="2" s="1"/>
  <c r="G164" i="2" s="1"/>
  <c r="H164" i="2" s="1"/>
  <c r="E165" i="2"/>
  <c r="F165" i="2" s="1"/>
  <c r="E166" i="2"/>
  <c r="F166" i="2" s="1"/>
  <c r="G166" i="2" s="1"/>
  <c r="H166" i="2" s="1"/>
  <c r="E167" i="2"/>
  <c r="F167" i="2" s="1"/>
  <c r="G167" i="2" s="1"/>
  <c r="H167" i="2" s="1"/>
  <c r="E168" i="2"/>
  <c r="F168" i="2" s="1"/>
  <c r="G168" i="2" s="1"/>
  <c r="H168" i="2" s="1"/>
  <c r="E169" i="2"/>
  <c r="F169" i="2" s="1"/>
  <c r="G169" i="2" s="1"/>
  <c r="H169" i="2" s="1"/>
  <c r="E170" i="2"/>
  <c r="F170" i="2" s="1"/>
  <c r="G170" i="2" s="1"/>
  <c r="H170" i="2" s="1"/>
  <c r="E171" i="2"/>
  <c r="F171" i="2" s="1"/>
  <c r="G171" i="2" s="1"/>
  <c r="H171" i="2" s="1"/>
  <c r="E71" i="2"/>
  <c r="E21" i="2"/>
  <c r="E82" i="2"/>
  <c r="F82" i="2" s="1"/>
  <c r="G82" i="2" s="1"/>
  <c r="H82" i="2" s="1"/>
  <c r="G39" i="3"/>
  <c r="H39" i="3" s="1"/>
  <c r="I39" i="3" s="1"/>
  <c r="J39" i="3" s="1"/>
  <c r="G40" i="3"/>
  <c r="G41" i="3"/>
  <c r="G42" i="3"/>
  <c r="G43" i="3"/>
  <c r="G44" i="3"/>
  <c r="H44" i="3" s="1"/>
  <c r="I44" i="3" s="1"/>
  <c r="J44" i="3" s="1"/>
  <c r="G45" i="3"/>
  <c r="G46" i="3"/>
  <c r="H46" i="3" s="1"/>
  <c r="I46" i="3" s="1"/>
  <c r="J46" i="3" s="1"/>
  <c r="G47" i="3"/>
  <c r="G48" i="3"/>
  <c r="G49" i="3"/>
  <c r="H49" i="3" s="1"/>
  <c r="G50" i="3"/>
  <c r="H50" i="3" s="1"/>
  <c r="G51" i="3"/>
  <c r="H51" i="3" s="1"/>
  <c r="G52" i="3"/>
  <c r="H52" i="3" s="1"/>
  <c r="G25" i="3"/>
  <c r="H25" i="3" s="1"/>
  <c r="E17" i="2"/>
  <c r="F17" i="2" s="1"/>
  <c r="E18" i="2"/>
  <c r="F18" i="2" s="1"/>
  <c r="E19" i="2"/>
  <c r="F19" i="2" s="1"/>
  <c r="E20" i="2"/>
  <c r="F20" i="2" s="1"/>
  <c r="G165" i="2" l="1"/>
  <c r="H165" i="2" s="1"/>
  <c r="H45" i="3"/>
  <c r="I45" i="3" s="1"/>
  <c r="J45" i="3" s="1"/>
  <c r="I52" i="3"/>
  <c r="J52" i="3" s="1"/>
  <c r="I51" i="3"/>
  <c r="J51" i="3" s="1"/>
  <c r="I50" i="3"/>
  <c r="J50" i="3" s="1"/>
  <c r="I49" i="3"/>
  <c r="J49" i="3" s="1"/>
  <c r="H48" i="3"/>
  <c r="I48" i="3" s="1"/>
  <c r="J48" i="3" s="1"/>
  <c r="H47" i="3"/>
  <c r="I47" i="3" s="1"/>
  <c r="J47" i="3" s="1"/>
  <c r="H43" i="3"/>
  <c r="I43" i="3" s="1"/>
  <c r="J43" i="3" s="1"/>
  <c r="H42" i="3"/>
  <c r="I42" i="3" s="1"/>
  <c r="J42" i="3" s="1"/>
  <c r="H41" i="3"/>
  <c r="I41" i="3" s="1"/>
  <c r="J41" i="3" s="1"/>
  <c r="H40" i="3"/>
  <c r="I40" i="3" s="1"/>
  <c r="J40" i="3" s="1"/>
  <c r="I25" i="3"/>
  <c r="J25" i="3" s="1"/>
  <c r="G17" i="2"/>
  <c r="H17" i="2" s="1"/>
  <c r="G75" i="2"/>
  <c r="H75" i="2" s="1"/>
  <c r="G20" i="2"/>
  <c r="H20" i="2" s="1"/>
  <c r="G74" i="2"/>
  <c r="H74" i="2" s="1"/>
  <c r="G19" i="2"/>
  <c r="H19" i="2" s="1"/>
  <c r="F71" i="2"/>
  <c r="G71" i="2" s="1"/>
  <c r="H71" i="2" s="1"/>
  <c r="E172" i="2"/>
  <c r="G73" i="2"/>
  <c r="H73" i="2" s="1"/>
  <c r="G18" i="2"/>
  <c r="H18" i="2" s="1"/>
  <c r="G72" i="2"/>
  <c r="H72" i="2" s="1"/>
  <c r="F172" i="2" l="1"/>
  <c r="G172" i="2" s="1"/>
  <c r="H172" i="2" s="1"/>
  <c r="W31" i="8"/>
  <c r="J31" i="8"/>
  <c r="Q31" i="8"/>
  <c r="O31" i="8"/>
  <c r="L60" i="11" l="1"/>
  <c r="G52" i="11"/>
  <c r="L67" i="11" l="1"/>
  <c r="I69" i="11"/>
  <c r="N19" i="11"/>
  <c r="G55" i="11"/>
  <c r="C22" i="2" l="1"/>
  <c r="E14" i="2" l="1"/>
  <c r="F14" i="2" s="1"/>
  <c r="U26" i="8"/>
  <c r="V13" i="8"/>
  <c r="V14" i="8"/>
  <c r="V15" i="8"/>
  <c r="V16" i="8"/>
  <c r="V17" i="8"/>
  <c r="V18" i="8"/>
  <c r="V19" i="8"/>
  <c r="V20" i="8"/>
  <c r="V21" i="8"/>
  <c r="U51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C51" i="8"/>
  <c r="S26" i="8"/>
  <c r="V34" i="8"/>
  <c r="E53" i="3"/>
  <c r="S51" i="8"/>
  <c r="O51" i="8"/>
  <c r="V33" i="8"/>
  <c r="J69" i="11"/>
  <c r="L69" i="11" s="1"/>
  <c r="Q23" i="11"/>
  <c r="K23" i="11"/>
  <c r="L23" i="11" s="1"/>
  <c r="K15" i="11"/>
  <c r="L15" i="11" s="1"/>
  <c r="G23" i="3"/>
  <c r="H23" i="3" s="1"/>
  <c r="G22" i="3"/>
  <c r="H22" i="3" s="1"/>
  <c r="V31" i="8"/>
  <c r="H26" i="2"/>
  <c r="H25" i="2"/>
  <c r="B26" i="2"/>
  <c r="C26" i="2"/>
  <c r="D26" i="2"/>
  <c r="E25" i="2"/>
  <c r="E26" i="2" s="1"/>
  <c r="F21" i="2"/>
  <c r="E13" i="2"/>
  <c r="F13" i="2" s="1"/>
  <c r="E11" i="2"/>
  <c r="F11" i="2" s="1"/>
  <c r="P26" i="11"/>
  <c r="V32" i="8"/>
  <c r="G53" i="11"/>
  <c r="G62" i="11" s="1"/>
  <c r="L44" i="11"/>
  <c r="N26" i="11"/>
  <c r="I71" i="11"/>
  <c r="G12" i="3"/>
  <c r="H12" i="3" s="1"/>
  <c r="R51" i="8"/>
  <c r="K53" i="11"/>
  <c r="K62" i="11" s="1"/>
  <c r="J53" i="11"/>
  <c r="J62" i="11" s="1"/>
  <c r="I52" i="11"/>
  <c r="K70" i="11"/>
  <c r="J70" i="11"/>
  <c r="L68" i="11"/>
  <c r="L70" i="11" s="1"/>
  <c r="H53" i="11"/>
  <c r="H62" i="11" s="1"/>
  <c r="I44" i="11"/>
  <c r="V30" i="8"/>
  <c r="L45" i="11"/>
  <c r="L46" i="11"/>
  <c r="L47" i="11"/>
  <c r="L48" i="11"/>
  <c r="L50" i="11"/>
  <c r="L51" i="11"/>
  <c r="L52" i="11"/>
  <c r="L55" i="11"/>
  <c r="L56" i="11"/>
  <c r="L58" i="11"/>
  <c r="L59" i="11"/>
  <c r="I45" i="11"/>
  <c r="I46" i="11"/>
  <c r="I47" i="11"/>
  <c r="I48" i="11"/>
  <c r="I49" i="11"/>
  <c r="I50" i="11"/>
  <c r="I51" i="11"/>
  <c r="I55" i="11"/>
  <c r="I56" i="11"/>
  <c r="I59" i="11"/>
  <c r="V22" i="8"/>
  <c r="V23" i="8"/>
  <c r="V24" i="8"/>
  <c r="V25" i="8"/>
  <c r="V11" i="8"/>
  <c r="V12" i="8"/>
  <c r="V50" i="8"/>
  <c r="G26" i="8"/>
  <c r="Q11" i="11"/>
  <c r="Q25" i="11"/>
  <c r="Q22" i="11"/>
  <c r="Q18" i="11"/>
  <c r="Q17" i="11"/>
  <c r="Q15" i="11"/>
  <c r="Q14" i="11"/>
  <c r="H26" i="11"/>
  <c r="I26" i="11"/>
  <c r="M26" i="11"/>
  <c r="G26" i="11"/>
  <c r="K24" i="11"/>
  <c r="L24" i="11" s="1"/>
  <c r="Q24" i="11"/>
  <c r="K25" i="11"/>
  <c r="L25" i="11" s="1"/>
  <c r="K9" i="11"/>
  <c r="G10" i="3"/>
  <c r="H10" i="3" s="1"/>
  <c r="V6" i="8"/>
  <c r="V8" i="8"/>
  <c r="V29" i="8"/>
  <c r="W29" i="8" s="1"/>
  <c r="F9" i="11"/>
  <c r="F10" i="11"/>
  <c r="K10" i="11"/>
  <c r="L10" i="11" s="1"/>
  <c r="Q10" i="11"/>
  <c r="F11" i="11"/>
  <c r="K11" i="11"/>
  <c r="L11" i="11" s="1"/>
  <c r="F12" i="11"/>
  <c r="K12" i="11"/>
  <c r="L12" i="11" s="1"/>
  <c r="Q12" i="11"/>
  <c r="F13" i="11"/>
  <c r="K13" i="11"/>
  <c r="L13" i="11" s="1"/>
  <c r="Q13" i="11"/>
  <c r="F14" i="11"/>
  <c r="K14" i="11"/>
  <c r="L14" i="11" s="1"/>
  <c r="K16" i="11"/>
  <c r="L16" i="11" s="1"/>
  <c r="Q16" i="11"/>
  <c r="F17" i="11"/>
  <c r="K17" i="11"/>
  <c r="L17" i="11" s="1"/>
  <c r="F18" i="11"/>
  <c r="K18" i="11"/>
  <c r="L18" i="11" s="1"/>
  <c r="F19" i="11"/>
  <c r="K19" i="11"/>
  <c r="L19" i="11" s="1"/>
  <c r="F20" i="11"/>
  <c r="K20" i="11"/>
  <c r="L20" i="11" s="1"/>
  <c r="Q20" i="11"/>
  <c r="F21" i="11"/>
  <c r="K21" i="11"/>
  <c r="L21" i="11" s="1"/>
  <c r="Q21" i="11"/>
  <c r="F22" i="11"/>
  <c r="K22" i="11"/>
  <c r="L22" i="11" s="1"/>
  <c r="F23" i="11"/>
  <c r="F24" i="11"/>
  <c r="F25" i="11"/>
  <c r="D26" i="11"/>
  <c r="E26" i="11"/>
  <c r="C26" i="8"/>
  <c r="D26" i="8"/>
  <c r="E26" i="8"/>
  <c r="F26" i="8"/>
  <c r="H26" i="8"/>
  <c r="I26" i="8"/>
  <c r="J26" i="8"/>
  <c r="K26" i="8"/>
  <c r="L26" i="8"/>
  <c r="M26" i="8"/>
  <c r="N26" i="8"/>
  <c r="O26" i="8"/>
  <c r="P26" i="8"/>
  <c r="Q26" i="8"/>
  <c r="R26" i="8"/>
  <c r="T26" i="8"/>
  <c r="D51" i="8"/>
  <c r="E51" i="8"/>
  <c r="F51" i="8"/>
  <c r="G51" i="8"/>
  <c r="H51" i="8"/>
  <c r="I51" i="8"/>
  <c r="J51" i="8"/>
  <c r="K51" i="8"/>
  <c r="L51" i="8"/>
  <c r="M51" i="8"/>
  <c r="N51" i="8"/>
  <c r="P51" i="8"/>
  <c r="Q51" i="8"/>
  <c r="T51" i="8"/>
  <c r="G7" i="3"/>
  <c r="A8" i="3"/>
  <c r="G8" i="3"/>
  <c r="H8" i="3" s="1"/>
  <c r="G9" i="3"/>
  <c r="H9" i="3" s="1"/>
  <c r="G11" i="3"/>
  <c r="H11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B21" i="3"/>
  <c r="B53" i="3" s="1"/>
  <c r="G21" i="3"/>
  <c r="H21" i="3" s="1"/>
  <c r="G24" i="3"/>
  <c r="H24" i="3" s="1"/>
  <c r="A27" i="3"/>
  <c r="G27" i="3"/>
  <c r="H27" i="3" s="1"/>
  <c r="G28" i="3"/>
  <c r="H28" i="3" s="1"/>
  <c r="G29" i="3"/>
  <c r="H29" i="3" s="1"/>
  <c r="A30" i="3"/>
  <c r="G30" i="3"/>
  <c r="H30" i="3" s="1"/>
  <c r="G31" i="3"/>
  <c r="H31" i="3" s="1"/>
  <c r="G32" i="3"/>
  <c r="H32" i="3" s="1"/>
  <c r="G33" i="3"/>
  <c r="G34" i="3"/>
  <c r="H34" i="3" s="1"/>
  <c r="I34" i="3" s="1"/>
  <c r="G35" i="3"/>
  <c r="G37" i="3"/>
  <c r="G38" i="3"/>
  <c r="E12" i="2"/>
  <c r="F12" i="2" s="1"/>
  <c r="E15" i="2"/>
  <c r="F15" i="2" s="1"/>
  <c r="E16" i="2"/>
  <c r="F16" i="2" s="1"/>
  <c r="Q9" i="11"/>
  <c r="V9" i="8"/>
  <c r="I70" i="11"/>
  <c r="I72" i="11" s="1"/>
  <c r="L49" i="11"/>
  <c r="E10" i="2"/>
  <c r="Q19" i="11"/>
  <c r="E9" i="2"/>
  <c r="O26" i="11"/>
  <c r="I22" i="3" l="1"/>
  <c r="J22" i="3" s="1"/>
  <c r="H38" i="3"/>
  <c r="I38" i="3" s="1"/>
  <c r="J38" i="3" s="1"/>
  <c r="H37" i="3"/>
  <c r="I37" i="3" s="1"/>
  <c r="J37" i="3" s="1"/>
  <c r="H35" i="3"/>
  <c r="I35" i="3" s="1"/>
  <c r="J35" i="3" s="1"/>
  <c r="H33" i="3"/>
  <c r="I33" i="3" s="1"/>
  <c r="J33" i="3" s="1"/>
  <c r="I32" i="3"/>
  <c r="J32" i="3" s="1"/>
  <c r="I31" i="3"/>
  <c r="J31" i="3" s="1"/>
  <c r="I30" i="3"/>
  <c r="J30" i="3" s="1"/>
  <c r="I29" i="3"/>
  <c r="J29" i="3" s="1"/>
  <c r="I28" i="3"/>
  <c r="J28" i="3" s="1"/>
  <c r="I27" i="3"/>
  <c r="J27" i="3" s="1"/>
  <c r="I24" i="3"/>
  <c r="J24" i="3" s="1"/>
  <c r="I23" i="3"/>
  <c r="J23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2" i="3"/>
  <c r="J12" i="3" s="1"/>
  <c r="I11" i="3"/>
  <c r="J11" i="3" s="1"/>
  <c r="I10" i="3"/>
  <c r="J10" i="3" s="1"/>
  <c r="I9" i="3"/>
  <c r="J9" i="3" s="1"/>
  <c r="I8" i="3"/>
  <c r="J8" i="3" s="1"/>
  <c r="G16" i="2"/>
  <c r="H16" i="2" s="1"/>
  <c r="G13" i="2"/>
  <c r="H13" i="2" s="1"/>
  <c r="G12" i="2"/>
  <c r="H12" i="2" s="1"/>
  <c r="G15" i="2"/>
  <c r="H15" i="2" s="1"/>
  <c r="G21" i="2"/>
  <c r="H21" i="2" s="1"/>
  <c r="G11" i="2"/>
  <c r="H11" i="2" s="1"/>
  <c r="G14" i="2"/>
  <c r="H14" i="2" s="1"/>
  <c r="J34" i="3"/>
  <c r="F9" i="2"/>
  <c r="H7" i="3"/>
  <c r="G53" i="3"/>
  <c r="H53" i="3" s="1"/>
  <c r="J53" i="3" s="1"/>
  <c r="Q53" i="8"/>
  <c r="F53" i="8"/>
  <c r="J71" i="11"/>
  <c r="D33" i="2"/>
  <c r="D174" i="2" s="1"/>
  <c r="F26" i="11"/>
  <c r="S53" i="8"/>
  <c r="O53" i="8"/>
  <c r="H53" i="8"/>
  <c r="U53" i="8"/>
  <c r="E53" i="8"/>
  <c r="J53" i="8"/>
  <c r="D53" i="8"/>
  <c r="I53" i="8"/>
  <c r="P53" i="8"/>
  <c r="K53" i="8"/>
  <c r="R53" i="8"/>
  <c r="N53" i="8"/>
  <c r="M53" i="8"/>
  <c r="R17" i="11"/>
  <c r="R16" i="11"/>
  <c r="R23" i="11"/>
  <c r="R22" i="11"/>
  <c r="R14" i="11"/>
  <c r="R10" i="11"/>
  <c r="R20" i="11"/>
  <c r="R24" i="11"/>
  <c r="R25" i="11"/>
  <c r="R18" i="11"/>
  <c r="R12" i="11"/>
  <c r="R11" i="11"/>
  <c r="R21" i="11"/>
  <c r="E31" i="2"/>
  <c r="F31" i="2" s="1"/>
  <c r="C33" i="2"/>
  <c r="C174" i="2" s="1"/>
  <c r="T53" i="8"/>
  <c r="R13" i="11"/>
  <c r="E32" i="2"/>
  <c r="F32" i="2" s="1"/>
  <c r="D22" i="2"/>
  <c r="D28" i="2" s="1"/>
  <c r="Q26" i="11"/>
  <c r="K26" i="11"/>
  <c r="L53" i="11"/>
  <c r="L62" i="11" s="1"/>
  <c r="A53" i="3"/>
  <c r="V10" i="8"/>
  <c r="V26" i="8" s="1"/>
  <c r="C53" i="8"/>
  <c r="V51" i="8"/>
  <c r="W51" i="8" s="1"/>
  <c r="C28" i="2"/>
  <c r="G53" i="8"/>
  <c r="R15" i="11"/>
  <c r="B22" i="2"/>
  <c r="B28" i="2" s="1"/>
  <c r="B176" i="2" s="1"/>
  <c r="L53" i="8"/>
  <c r="J26" i="11"/>
  <c r="I53" i="11"/>
  <c r="I62" i="11" s="1"/>
  <c r="E22" i="2"/>
  <c r="E28" i="2" s="1"/>
  <c r="L9" i="11"/>
  <c r="R9" i="11" s="1"/>
  <c r="F10" i="2"/>
  <c r="R19" i="11"/>
  <c r="D176" i="2" l="1"/>
  <c r="C176" i="2"/>
  <c r="I7" i="3"/>
  <c r="J7" i="3" s="1"/>
  <c r="G32" i="2"/>
  <c r="H32" i="2" s="1"/>
  <c r="G9" i="2"/>
  <c r="H9" i="2" s="1"/>
  <c r="G31" i="2"/>
  <c r="H31" i="2" s="1"/>
  <c r="G10" i="2"/>
  <c r="H10" i="2" s="1"/>
  <c r="V53" i="8"/>
  <c r="E33" i="2"/>
  <c r="E174" i="2" s="1"/>
  <c r="L26" i="11"/>
  <c r="R26" i="11" s="1"/>
  <c r="F22" i="2"/>
  <c r="F28" i="2"/>
  <c r="G22" i="2" l="1"/>
  <c r="H22" i="2" s="1"/>
  <c r="G28" i="2"/>
  <c r="H28" i="2" s="1"/>
  <c r="F33" i="2"/>
  <c r="G33" i="2" l="1"/>
  <c r="H33" i="2" s="1"/>
  <c r="F174" i="2"/>
  <c r="G174" i="2" l="1"/>
  <c r="H17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Jeanette Johnson</author>
  </authors>
  <commentList>
    <comment ref="A145" authorId="0" shapeId="0" xr:uid="{C06AB651-8249-45A7-B9AF-F0C6F06E96F7}">
      <text>
        <r>
          <rPr>
            <b/>
            <sz val="9"/>
            <color indexed="81"/>
            <rFont val="Tahoma"/>
            <family val="2"/>
          </rPr>
          <t>Jeanette Johnson:</t>
        </r>
        <r>
          <rPr>
            <sz val="9"/>
            <color indexed="81"/>
            <rFont val="Tahoma"/>
            <family val="2"/>
          </rPr>
          <t xml:space="preserve">
Facility Maintenance Included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Jeanette Johnson</author>
  </authors>
  <commentList>
    <comment ref="C17" authorId="0" shapeId="0" xr:uid="{F69B5104-19E0-4EF9-AAC9-9C897B516B1E}">
      <text>
        <r>
          <rPr>
            <b/>
            <sz val="9"/>
            <color indexed="81"/>
            <rFont val="Tahoma"/>
            <family val="2"/>
          </rPr>
          <t>Jeanette Johnson:</t>
        </r>
        <r>
          <rPr>
            <sz val="9"/>
            <color indexed="81"/>
            <rFont val="Tahoma"/>
            <family val="2"/>
          </rPr>
          <t xml:space="preserve">
Includes central store room</t>
        </r>
      </text>
    </comment>
    <comment ref="C28" authorId="0" shapeId="0" xr:uid="{5138FD6D-864F-4693-B0D4-94C2BC57E870}">
      <text>
        <r>
          <rPr>
            <b/>
            <sz val="9"/>
            <color indexed="81"/>
            <rFont val="Tahoma"/>
            <family val="2"/>
          </rPr>
          <t>Jeanette Johnson:</t>
        </r>
        <r>
          <rPr>
            <sz val="9"/>
            <color indexed="81"/>
            <rFont val="Tahoma"/>
            <family val="2"/>
          </rPr>
          <t xml:space="preserve">
Include Freedom Support Center</t>
        </r>
      </text>
    </comment>
    <comment ref="C36" authorId="0" shapeId="0" xr:uid="{1546806A-AB04-435C-8852-A358C83EE90C}">
      <text>
        <r>
          <rPr>
            <b/>
            <sz val="9"/>
            <color indexed="81"/>
            <rFont val="Tahoma"/>
            <family val="2"/>
          </rPr>
          <t xml:space="preserve">Jeanette Johnson: 
</t>
        </r>
        <r>
          <rPr>
            <sz val="9"/>
            <color indexed="81"/>
            <rFont val="Tahoma"/>
            <family val="2"/>
          </rPr>
          <t xml:space="preserve">Includes Fleet
Public Works 
</t>
        </r>
      </text>
    </comment>
    <comment ref="C39" authorId="0" shapeId="0" xr:uid="{5C13954F-5854-4F9C-B2A6-347BC3C2A063}">
      <text>
        <r>
          <rPr>
            <b/>
            <sz val="9"/>
            <color indexed="81"/>
            <rFont val="Tahoma"/>
            <family val="2"/>
          </rPr>
          <t>Jeanette Johnson:</t>
        </r>
        <r>
          <rPr>
            <sz val="9"/>
            <color indexed="81"/>
            <rFont val="Tahoma"/>
            <family val="2"/>
          </rPr>
          <t xml:space="preserve">
Social Services
</t>
        </r>
      </text>
    </comment>
  </commentList>
</comments>
</file>

<file path=xl/sharedStrings.xml><?xml version="1.0" encoding="utf-8"?>
<sst xmlns="http://schemas.openxmlformats.org/spreadsheetml/2006/main" count="461" uniqueCount="384">
  <si>
    <t>FOR THE PERIOD ENDED:</t>
  </si>
  <si>
    <t>FUND</t>
  </si>
  <si>
    <t>DESCRIPTION</t>
  </si>
  <si>
    <t>BUDGET</t>
  </si>
  <si>
    <t>PRIOR YR</t>
  </si>
  <si>
    <t>SCHOOL FUND</t>
  </si>
  <si>
    <t>TEXTBOOK FUND</t>
  </si>
  <si>
    <t>CAFETERIA FUND</t>
  </si>
  <si>
    <t>LAW LIBRARY FUND</t>
  </si>
  <si>
    <t>SCHOOL CAPITAL PROJECTS FUND</t>
  </si>
  <si>
    <t>FORFEITED ASSET SHARING PROG</t>
  </si>
  <si>
    <t>COUNTY CAPITAL PROJECTS FUND</t>
  </si>
  <si>
    <t>TOTAL</t>
  </si>
  <si>
    <t>REVENUE</t>
  </si>
  <si>
    <t>CHANGE</t>
  </si>
  <si>
    <t>REMAIN</t>
  </si>
  <si>
    <t>CURR YTD</t>
  </si>
  <si>
    <t>GENERAL FUND</t>
  </si>
  <si>
    <t>REVENUES</t>
  </si>
  <si>
    <t>General Property Taxes</t>
  </si>
  <si>
    <t>Other Local Taxes</t>
  </si>
  <si>
    <t>Permits, Fees, Licenses</t>
  </si>
  <si>
    <t>Fines &amp; Forfeitures</t>
  </si>
  <si>
    <t>Charges for Services</t>
  </si>
  <si>
    <t>Misc Revenue</t>
  </si>
  <si>
    <t>Recovered Cost</t>
  </si>
  <si>
    <t>Revenue from Commonwealth</t>
  </si>
  <si>
    <t>Revenue from Federal Govt</t>
  </si>
  <si>
    <t>TOTAL REVENUES</t>
  </si>
  <si>
    <t>EXPENDITURES</t>
  </si>
  <si>
    <t>Salaries &amp; Wages</t>
  </si>
  <si>
    <t>Benefits</t>
  </si>
  <si>
    <t>Total Salaries &amp; Benefits</t>
  </si>
  <si>
    <t>Total Other Expenditures</t>
  </si>
  <si>
    <t>TOTAL EXPENDITURES</t>
  </si>
  <si>
    <t>TRANSFERS</t>
  </si>
  <si>
    <t>TOTAL TRANSFERS</t>
  </si>
  <si>
    <t>NET CHANGE IN FUND BAL</t>
  </si>
  <si>
    <t>%</t>
  </si>
  <si>
    <t>STATEMENT OF REVENUES, EXPENDITURES AND CHANGE IN FUND BALANCE</t>
  </si>
  <si>
    <t>ANALYSIS OF GENERAL FUND EXPENDITURES</t>
  </si>
  <si>
    <t>DEPARTMENT</t>
  </si>
  <si>
    <t xml:space="preserve">BUDGET </t>
  </si>
  <si>
    <t>DIFF</t>
  </si>
  <si>
    <t>(UNDER)</t>
  </si>
  <si>
    <t>STATEMENT OF REVENUES, EXPENDITURES, &amp; CHANGE IN FUND BALANCE</t>
  </si>
  <si>
    <t>OVER/</t>
  </si>
  <si>
    <t>Revenue-Use of Money/Prop</t>
  </si>
  <si>
    <t>SCHOOL GRANTS FUND</t>
  </si>
  <si>
    <t>ORIGINAL EXPENDITURE BUDGET</t>
  </si>
  <si>
    <t>VARIANCE</t>
  </si>
  <si>
    <t>EXPLANATION</t>
  </si>
  <si>
    <t>Transfers to Gen Fund</t>
  </si>
  <si>
    <t>FUND 101</t>
  </si>
  <si>
    <t>ADJUSTED EXPENDITURE BUDGET</t>
  </si>
  <si>
    <t>FY 2010</t>
  </si>
  <si>
    <t>BS/BT</t>
  </si>
  <si>
    <t>ORIGINAL REVENUE BUDGET</t>
  </si>
  <si>
    <t>OCTOBER 31, 2010</t>
  </si>
  <si>
    <t>FUND 228</t>
  </si>
  <si>
    <t>FUND 219</t>
  </si>
  <si>
    <t>COMM DEV BLOCK GRANT FUND</t>
  </si>
  <si>
    <t>LITTER GRANT FUND</t>
  </si>
  <si>
    <t>COMMUNITY DEVELOPMENT FUND</t>
  </si>
  <si>
    <t>COMPREHENSIVE SERVICE FUND</t>
  </si>
  <si>
    <t>COUNTY DEBT SERVICE FUND</t>
  </si>
  <si>
    <t>SCHOOL DEBT SERVICE FUND</t>
  </si>
  <si>
    <t>FIRE/EMS/GRANT PROG FUND</t>
  </si>
  <si>
    <t>SOCIAL SERVICES FUND</t>
  </si>
  <si>
    <t>JAIL PHONE COMMISSION FUND</t>
  </si>
  <si>
    <t>MEALS TAX FUND</t>
  </si>
  <si>
    <t>FY 2009</t>
  </si>
  <si>
    <t>END BAL</t>
  </si>
  <si>
    <t>EXPEND</t>
  </si>
  <si>
    <t>SPECIAL REVENUE FUNDS APPROPRIATION ADJUSTMENTS</t>
  </si>
  <si>
    <t>ACTUAL</t>
  </si>
  <si>
    <t>ORIGINAL</t>
  </si>
  <si>
    <t>ADJUSTED</t>
  </si>
  <si>
    <t>FY 11</t>
  </si>
  <si>
    <t>TOT ACT</t>
  </si>
  <si>
    <t>FUND 104</t>
  </si>
  <si>
    <t>FUND 209</t>
  </si>
  <si>
    <t>FUND 226</t>
  </si>
  <si>
    <t>FUND 229</t>
  </si>
  <si>
    <t>ADJUSTED REVENUE BUDGET</t>
  </si>
  <si>
    <t>FUND 205</t>
  </si>
  <si>
    <t>FUND 206</t>
  </si>
  <si>
    <t>FUND 207</t>
  </si>
  <si>
    <t>FUND 302</t>
  </si>
  <si>
    <t>FUND 303</t>
  </si>
  <si>
    <t>FUND 305</t>
  </si>
  <si>
    <t>FUND 210</t>
  </si>
  <si>
    <t>BASED ON PRIOR YEAR FUND BALANCES AND GRANT AWARDS</t>
  </si>
  <si>
    <t>FUNDS FROM MEALS TAXES; USED FOR SCHOOL DEBT SERVICE</t>
  </si>
  <si>
    <t>FUNDS FROM CDBG GRANT; USED FOR MEDICAL OFFICE BUILDING PROJECT, BALANCE IN FUND REPRESENTS IPR FUNDS</t>
  </si>
  <si>
    <t xml:space="preserve">FUNDS FROM STATE GRANT &amp; RECYCLING; USED FOR PURCHASE OF EQUIPMENT/VEHICLES FOR RECYCLING PROGRAM  </t>
  </si>
  <si>
    <t>FUNDS FROM COURT FEES; USED FOR MAINTENANCE OF LAW LIBRARY</t>
  </si>
  <si>
    <t>FUNDS FROM STATE GRANT &amp; DONATIONS; USED FOR EMS/VOLUNTEER FIRE DEPARTMENTS TRAINING AND EQUIPMENT</t>
  </si>
  <si>
    <t>FUNDS FROM DRUG-RELATED FORFEITED ASSETS; USED FOR LAW ENFORCEMENT PURPOSES BY SHERIFF &amp; COMMONWEALTH'S ATTORNEY</t>
  </si>
  <si>
    <t>FUNDS FROM GEN FUND TRANSFER, STATE, GRANTS; USED FOR STATE MANDATED PROGRAMS FOR FAMILIES IN NEED</t>
  </si>
  <si>
    <t>FUNDS FROM GEN FUND TRANSFER, GRANTS, PROFERS &amp; DONATIONS;USED FOR APPROVED CIP PROJECTS - SEE ATTACHED</t>
  </si>
  <si>
    <t>FUNDS FROM FEDERAL, STATE, &amp; LOCAL TRANSFERS, GRANTS; USED FOR PUBLIC ASSISTANCE</t>
  </si>
  <si>
    <t>GRANT</t>
  </si>
  <si>
    <t>REAPPROP</t>
  </si>
  <si>
    <t>FUND 102</t>
  </si>
  <si>
    <t>FUND 140</t>
  </si>
  <si>
    <t>FUND 401</t>
  </si>
  <si>
    <t>FUND 402</t>
  </si>
  <si>
    <t>COMMUNITY SERVICE FUND</t>
  </si>
  <si>
    <t>FUNDS FROM GENERAL FUND TRANSFER, GRANTS, &amp; DONATIONS; USED FOR COUNTY CAPITAL PROJECTS</t>
  </si>
  <si>
    <t>FUNDS FROM LOCAL MEALS TAX; USED FOR SCHOOL DEBT SERVICE</t>
  </si>
  <si>
    <t>FUNDS FROM JAIL PAYPHONE COMMISSIONS; USED FOR PURCHASING INMATE RELATED EXPENDITURES</t>
  </si>
  <si>
    <t>ADJUST</t>
  </si>
  <si>
    <t>OTHER</t>
  </si>
  <si>
    <t>FUND BAL</t>
  </si>
  <si>
    <t>SOURCES</t>
  </si>
  <si>
    <t>BUDGET*</t>
  </si>
  <si>
    <t>*</t>
  </si>
  <si>
    <t>FUND 211</t>
  </si>
  <si>
    <t>account</t>
  </si>
  <si>
    <t>training</t>
  </si>
  <si>
    <t>din</t>
  </si>
  <si>
    <t>ford</t>
  </si>
  <si>
    <t>mck</t>
  </si>
  <si>
    <t>nam</t>
  </si>
  <si>
    <t>oh</t>
  </si>
  <si>
    <t>shared</t>
  </si>
  <si>
    <t>carson</t>
  </si>
  <si>
    <t>4 for life</t>
  </si>
  <si>
    <t>donation</t>
  </si>
  <si>
    <t>CHILDREN'S SERVICES FUND</t>
  </si>
  <si>
    <t>FUNDS FROM GENERAL FUND TRANSFER &amp; GRANTS; USED FOR ECONOMIC DEV, TOURISM &amp; WORKFORCE DEVELOPMENT</t>
  </si>
  <si>
    <t>FUNDS FROM SHERIFF'S COMMUNITY ACTIVITIES &amp; GRANTS; USED FOR TRIAD &amp; OPERATION LIFESAVER</t>
  </si>
  <si>
    <t>rev adjust</t>
  </si>
  <si>
    <t>fund bal</t>
  </si>
  <si>
    <t>equipment</t>
  </si>
  <si>
    <t>totals</t>
  </si>
  <si>
    <t>Fund 228-32200</t>
  </si>
  <si>
    <t>Fund 228-32300</t>
  </si>
  <si>
    <t>Fund 228-32400</t>
  </si>
  <si>
    <t>JE amount</t>
  </si>
  <si>
    <t>Legal Services</t>
  </si>
  <si>
    <t>ED</t>
  </si>
  <si>
    <t>TOURISM</t>
  </si>
  <si>
    <t>WORKFORCE</t>
  </si>
  <si>
    <t>REV</t>
  </si>
  <si>
    <t>EXP</t>
  </si>
  <si>
    <t>TOTAL REVENUES/TRANS</t>
  </si>
  <si>
    <t>FY 19</t>
  </si>
  <si>
    <t>FY 20</t>
  </si>
  <si>
    <t>unapprop</t>
  </si>
  <si>
    <t>fund balance</t>
  </si>
  <si>
    <t xml:space="preserve">SCHEDULE OF FY 2020 BUDGET AMENDMENTS </t>
  </si>
  <si>
    <t>AUDITED BEGINNING FUND BALANCE @ 7/1/19</t>
  </si>
  <si>
    <t>BUDGETED ENDING FUND BALANCE AT 6/30/20</t>
  </si>
  <si>
    <t>fy19 end bal</t>
  </si>
  <si>
    <t>orig fy 20 bud</t>
  </si>
  <si>
    <t>adj fy 20 bud</t>
  </si>
  <si>
    <t>BAI</t>
  </si>
  <si>
    <t>FY 20 ORIGINAL EXPENDITURE BUDGET MAY ALREADY INCLUDE AN ESTIMATED 6/30/19 ENDING BALANCE AMOUNT</t>
  </si>
  <si>
    <t>fm global grant from fy 19</t>
  </si>
  <si>
    <t>this can be spent on anything - extra money in account</t>
  </si>
  <si>
    <t>federal grant</t>
  </si>
  <si>
    <t>1% limit</t>
  </si>
  <si>
    <t>(Toughbook purchase)</t>
  </si>
  <si>
    <t>BS 20-1</t>
  </si>
  <si>
    <t>SPEC REV FY 19 YR END/ESUMMONS REAPPROP/SCH TRANS/GRANTS</t>
  </si>
  <si>
    <t>** General Fund Revenue **</t>
  </si>
  <si>
    <t>**Grant Fund Revenue**</t>
  </si>
  <si>
    <t>**  Streets Fund Revenue **</t>
  </si>
  <si>
    <t>*Community Development Act Revenue*</t>
  </si>
  <si>
    <t>** General Construction Revenue **</t>
  </si>
  <si>
    <t>** Public Utility Revenue **</t>
  </si>
  <si>
    <t>** Stormwater Fund Revenue **</t>
  </si>
  <si>
    <t>** Golf Course Fund Revenue **</t>
  </si>
  <si>
    <t>** Mass Transit Revenue **</t>
  </si>
  <si>
    <t>CITY OF PETERSBURG, VIRGINIA</t>
  </si>
  <si>
    <t xml:space="preserve">State Shared </t>
  </si>
  <si>
    <t>Sale of Property</t>
  </si>
  <si>
    <t>Merchandise for Resale</t>
  </si>
  <si>
    <t>CITY TREASURER</t>
  </si>
  <si>
    <t>FINANCE</t>
  </si>
  <si>
    <t>INFORMATION TECHNOLOGY</t>
  </si>
  <si>
    <t>REGISTRAR</t>
  </si>
  <si>
    <t>GENERAL DISTRICT COURT</t>
  </si>
  <si>
    <t>MAGISTRATES</t>
  </si>
  <si>
    <t>COMMONWEALTH ATTORNEY</t>
  </si>
  <si>
    <t>POLICE DEPARTMENT</t>
  </si>
  <si>
    <t>FIRE DEPARTMENT</t>
  </si>
  <si>
    <t>FACILITY MANAGEMENT</t>
  </si>
  <si>
    <t>SOCIAL SERVICES</t>
  </si>
  <si>
    <t>COMPREHENSIVE SERVICES ACT</t>
  </si>
  <si>
    <t>CEMETERIES</t>
  </si>
  <si>
    <t>PLANNING</t>
  </si>
  <si>
    <t>COOPERATIVE EXTENSION PROGRAM</t>
  </si>
  <si>
    <t>DEBT SERVICE</t>
  </si>
  <si>
    <t>Other Contractual Services</t>
  </si>
  <si>
    <t>Postal Services</t>
  </si>
  <si>
    <t>Telecommunications</t>
  </si>
  <si>
    <t>Security</t>
  </si>
  <si>
    <t>Electoral Board Compensation</t>
  </si>
  <si>
    <t>Accounting and Auditing Services</t>
  </si>
  <si>
    <t>Other Professional Services</t>
  </si>
  <si>
    <t>Maintenance Contracts</t>
  </si>
  <si>
    <t>Demolition Services</t>
  </si>
  <si>
    <t>Repairs - Vehicles</t>
  </si>
  <si>
    <t>Repairs - Machinery &amp; Tools</t>
  </si>
  <si>
    <t>Repairs - Equipment</t>
  </si>
  <si>
    <t>Repairs - Heat &amp; Cool Equipment</t>
  </si>
  <si>
    <t>Repairs and Maintenance</t>
  </si>
  <si>
    <t>Pest Control</t>
  </si>
  <si>
    <t>Advertising</t>
  </si>
  <si>
    <t>Pool Funds</t>
  </si>
  <si>
    <t>Utility Service</t>
  </si>
  <si>
    <t>Water &amp; Sewer Service</t>
  </si>
  <si>
    <t>Property Insurance</t>
  </si>
  <si>
    <t>Surety Bonds</t>
  </si>
  <si>
    <t>Lease/Rent of Equipment</t>
  </si>
  <si>
    <t>Lease/Rent of Buildings</t>
  </si>
  <si>
    <t>Mileage &amp; Transportation</t>
  </si>
  <si>
    <t>Meals and Lodging</t>
  </si>
  <si>
    <t>Registration &amp; Training</t>
  </si>
  <si>
    <t>Conference, Travel &amp; Training</t>
  </si>
  <si>
    <t>Auxiliary Grants Aged</t>
  </si>
  <si>
    <t>Auxiliary Grants Disabled</t>
  </si>
  <si>
    <t>TANF Manual Checks</t>
  </si>
  <si>
    <t>TANF Foster Care</t>
  </si>
  <si>
    <t>Emergency Utility Assistance</t>
  </si>
  <si>
    <t>Federal Adoption Subsidy &amp; Non-Recu</t>
  </si>
  <si>
    <t>Fostering Futures Foster Care Assis</t>
  </si>
  <si>
    <t>Child Welfare Serv &amp; Adoption</t>
  </si>
  <si>
    <t>Independent Living Program</t>
  </si>
  <si>
    <t>Companion Program</t>
  </si>
  <si>
    <t>View  Welfare Reform</t>
  </si>
  <si>
    <t>Foster Parent Adoptive</t>
  </si>
  <si>
    <t>Education &amp; Training Vouchers - PS</t>
  </si>
  <si>
    <t>Foster Parent Respite Care</t>
  </si>
  <si>
    <t>FC Approved Child Welfare Trng - PS</t>
  </si>
  <si>
    <t>Healthy Families</t>
  </si>
  <si>
    <t>Refugee Assistance</t>
  </si>
  <si>
    <t>Dues and Association Memberships</t>
  </si>
  <si>
    <t>Family Preservation</t>
  </si>
  <si>
    <t>Child Welfa Subst Abuse &amp; Supp Svcs</t>
  </si>
  <si>
    <t>IV-E App Foster/Adopt Prt. Vol &amp; CW</t>
  </si>
  <si>
    <t>Adult Protective Services</t>
  </si>
  <si>
    <t>Special Events</t>
  </si>
  <si>
    <t>Office Supplies</t>
  </si>
  <si>
    <t>Food Supplies</t>
  </si>
  <si>
    <t>Cleaning Materials &amp; Supplies</t>
  </si>
  <si>
    <t>Repair and Maintenance Supplies</t>
  </si>
  <si>
    <t>Vehicle and Powered Equipment Fuels</t>
  </si>
  <si>
    <t>Ammunition</t>
  </si>
  <si>
    <t>Uniforms &amp; Wearing Apparel</t>
  </si>
  <si>
    <t>Books and Subscriptions</t>
  </si>
  <si>
    <t>Other Operating Supplies</t>
  </si>
  <si>
    <t>Cigarette Stamp Purchase</t>
  </si>
  <si>
    <t>Bonded Debt/Notes Interest</t>
  </si>
  <si>
    <t>Bonded Debt/Notes Principal</t>
  </si>
  <si>
    <t>Riverside Regional Jail Authority</t>
  </si>
  <si>
    <t>Crater Criminal Justice Services</t>
  </si>
  <si>
    <t>Virginia Municpal League</t>
  </si>
  <si>
    <t>National League of Cities</t>
  </si>
  <si>
    <t>Crater Juvenile Detention Services</t>
  </si>
  <si>
    <t>Central Virginia Health Services</t>
  </si>
  <si>
    <t>District 19 Mental Health Services</t>
  </si>
  <si>
    <t>John Tyler Community College</t>
  </si>
  <si>
    <t>Crater Dist Area Agency on Aging</t>
  </si>
  <si>
    <t>Richard Bland Community College</t>
  </si>
  <si>
    <t>US Conference of Mayors</t>
  </si>
  <si>
    <t>Fund Balance Replishment</t>
  </si>
  <si>
    <t>Contingency</t>
  </si>
  <si>
    <t>.</t>
  </si>
  <si>
    <t>FY 2022</t>
  </si>
  <si>
    <t xml:space="preserve">Non-Revenue Receipts </t>
  </si>
  <si>
    <t>GENERAL LEDGER CASH RECON</t>
  </si>
  <si>
    <t>TREASURERS CASH RECON</t>
  </si>
  <si>
    <t>EXPENDITURE</t>
  </si>
  <si>
    <t>FUND BALANCE</t>
  </si>
  <si>
    <t>BEG</t>
  </si>
  <si>
    <t>BEG ADJ</t>
  </si>
  <si>
    <t>END</t>
  </si>
  <si>
    <t>A/R</t>
  </si>
  <si>
    <t>A/P</t>
  </si>
  <si>
    <t>PYMT IN LIEU</t>
  </si>
  <si>
    <t>DEFFERED</t>
  </si>
  <si>
    <t>SUSPENSE</t>
  </si>
  <si>
    <t>PREPAID</t>
  </si>
  <si>
    <t>CASH IN FUND</t>
  </si>
  <si>
    <t>OVER/UNDER</t>
  </si>
  <si>
    <t xml:space="preserve"> </t>
  </si>
  <si>
    <t>Repairs - Buildings</t>
  </si>
  <si>
    <t>Repairs - Courthouse</t>
  </si>
  <si>
    <t>Marketing &amp; Advertising</t>
  </si>
  <si>
    <t>Insurance Premiums</t>
  </si>
  <si>
    <t>Building Materials &amp; Supplies</t>
  </si>
  <si>
    <t>Cleaning Services</t>
  </si>
  <si>
    <t>Clothing Allowance</t>
  </si>
  <si>
    <t>Computer Hardware under $5,000</t>
  </si>
  <si>
    <t>Computer Software over $5,000</t>
  </si>
  <si>
    <t>Computer Software under $5,000</t>
  </si>
  <si>
    <t>Conf, Travel &amp; Training - Mayor</t>
  </si>
  <si>
    <t>Conf, Travel &amp; Training - Ward 1</t>
  </si>
  <si>
    <t>Conf, Travel &amp; Training - Ward 2</t>
  </si>
  <si>
    <t>Conf, Travel &amp; Training - Ward 3</t>
  </si>
  <si>
    <t>Conf, Travel &amp; Training - Ward 4</t>
  </si>
  <si>
    <t>Conf, Travel &amp; Training - Ward 5</t>
  </si>
  <si>
    <t>Conf, Travel &amp; Training - Ward 6</t>
  </si>
  <si>
    <t>Conf, Travel &amp; Training - Ward 7</t>
  </si>
  <si>
    <t>Conf, Travel &amp; Training- Vice Mayor</t>
  </si>
  <si>
    <t>Credit Card Processing Fee</t>
  </si>
  <si>
    <t>Doctors &amp; Phys Exam Fees</t>
  </si>
  <si>
    <t>FLSA</t>
  </si>
  <si>
    <t>Furniture &amp; Fixtures over $5,000</t>
  </si>
  <si>
    <t>Furniture &amp; Fixtures under $5,000</t>
  </si>
  <si>
    <t>Jury Duty</t>
  </si>
  <si>
    <t>Machinery &amp; Equipment over $5,000</t>
  </si>
  <si>
    <t>Machinery &amp; Equipment under $5,000</t>
  </si>
  <si>
    <t>Part Time Regular</t>
  </si>
  <si>
    <t>Printing and Binding</t>
  </si>
  <si>
    <t>Replace Heat &amp; Cool Equipment</t>
  </si>
  <si>
    <t>Transfer to Capital Projects Fund</t>
  </si>
  <si>
    <t>Transfer to Courts Fund</t>
  </si>
  <si>
    <t>Transfer to Dogwood Golf Course</t>
  </si>
  <si>
    <t>Transfer to Grants Fund</t>
  </si>
  <si>
    <t>Transfer to Mass Transit Fund</t>
  </si>
  <si>
    <t>Transfer to Schools</t>
  </si>
  <si>
    <t>Unemployment Insurance</t>
  </si>
  <si>
    <t>Vehicles</t>
  </si>
  <si>
    <t>CITY COUNCIL</t>
  </si>
  <si>
    <t>CITY MANAGER</t>
  </si>
  <si>
    <t>CITY ATTORNEY</t>
  </si>
  <si>
    <t>COMMISSIONER OF REVENUE</t>
  </si>
  <si>
    <t xml:space="preserve">ASSESSOR </t>
  </si>
  <si>
    <t>COLLECTIONS</t>
  </si>
  <si>
    <t>PURCHASING</t>
  </si>
  <si>
    <t>CIRCUIT COURT JUDGES &amp; ADMINISTRATION</t>
  </si>
  <si>
    <t>JUVENILE &amp; DOMESTIC RELATIONS</t>
  </si>
  <si>
    <t>CLERK OF THE CIRCUIT COURT</t>
  </si>
  <si>
    <t>SHERIFF - COURT SERVICES</t>
  </si>
  <si>
    <t>911 - EMERGENCY COMMUNICATIONS</t>
  </si>
  <si>
    <t>REGIONAL JAIL SERVICE</t>
  </si>
  <si>
    <t>11TH DISTRICT COURT SVCS UNIT</t>
  </si>
  <si>
    <t>VICCA-DIV OF SS/VA JUVENILE COMM CRIME</t>
  </si>
  <si>
    <t>CODE OF COMPLIANCE-NEIGHBORHOOD SERVICES</t>
  </si>
  <si>
    <t>ANIMAL CONTROL - DIV OF POLICE</t>
  </si>
  <si>
    <t>REFUSE COLLECTION - DIV OF UTILITIES</t>
  </si>
  <si>
    <t>GROUNDS</t>
  </si>
  <si>
    <t>OTHER HEALTH SVCS-CRATER DISTRICT AREA AGENCY ON AGING</t>
  </si>
  <si>
    <t>SCHOOLS OPERATIONS</t>
  </si>
  <si>
    <t>PARKS &amp; LEISURE SERVICES/RECREATION</t>
  </si>
  <si>
    <t>MUSEUM AND VISITOR SERVICES</t>
  </si>
  <si>
    <t>PUBLIC LIBRARY</t>
  </si>
  <si>
    <t>ECONOMIC DEVELOPMENT-DIVISION OF PLANNING</t>
  </si>
  <si>
    <t>NON-DEPARTMENTAL</t>
  </si>
  <si>
    <t>TRANSFERS TO OTHER FUNDS</t>
  </si>
  <si>
    <t>HUMAN RESOURCES/RISK MANAGEMENT</t>
  </si>
  <si>
    <t>CITY FUNDS- COMM CORRECTIONS</t>
  </si>
  <si>
    <t>Current Year Staff &amp; Oper-No Local</t>
  </si>
  <si>
    <t>Daycare Supplemental</t>
  </si>
  <si>
    <t>Food Stamps Overpayment</t>
  </si>
  <si>
    <t>Hospitalization/Medical Plans Total</t>
  </si>
  <si>
    <t>Metropolitan Business League</t>
  </si>
  <si>
    <t xml:space="preserve">Payment to Library Foundation </t>
  </si>
  <si>
    <t>PCard &amp; TCard Clearing Account</t>
  </si>
  <si>
    <t xml:space="preserve">Line of Duty Insurance </t>
  </si>
  <si>
    <t xml:space="preserve">Local Grant Match </t>
  </si>
  <si>
    <t xml:space="preserve">Local Only - CSA </t>
  </si>
  <si>
    <t>General Liability Insurance</t>
  </si>
  <si>
    <t xml:space="preserve">Group Insurance </t>
  </si>
  <si>
    <t>Group Life</t>
  </si>
  <si>
    <t>Special Welfare Donations</t>
  </si>
  <si>
    <t xml:space="preserve">State Adoption Subsidy </t>
  </si>
  <si>
    <t>Bond Issuance Costs</t>
  </si>
  <si>
    <t>Overpayment Collections</t>
  </si>
  <si>
    <t>CUR QTR</t>
  </si>
  <si>
    <t xml:space="preserve">GENERAL SERVICES </t>
  </si>
  <si>
    <t>CURR QTR</t>
  </si>
  <si>
    <t>Chafee Independent Living-COVID</t>
  </si>
  <si>
    <t>APS COVID</t>
  </si>
  <si>
    <t>Banking Analysis Fees</t>
  </si>
  <si>
    <t>**American Rescue Plan Act (ARPA)**</t>
  </si>
  <si>
    <t>June 30, 2022- Q4</t>
  </si>
  <si>
    <t>AS OF June 30, 2022- Q4</t>
  </si>
  <si>
    <t>Mayor's Youth Academy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</si>
</sst>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mm/dd/yy;@"/>
    <numFmt numFmtId="166" formatCode="_(* #,##0_);_(* \(#,##0\);_(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i/>
      <u/>
      <sz val="10"/>
      <name val="Verdana"/>
      <family val="2"/>
    </font>
    <font>
      <sz val="10"/>
      <color indexed="8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u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208">
    <xf numFmtId="0" fontId="0" fillId="0" borderId="0" xfId="0"/>
    <xf numFmtId="3" fontId="2" fillId="0" borderId="0" xfId="0" applyNumberFormat="1" applyFont="1"/>
    <xf numFmtId="3" fontId="0" fillId="0" borderId="0" xfId="0" applyNumberFormat="1"/>
    <xf numFmtId="4" fontId="0" fillId="0" borderId="0" xfId="0" applyNumberFormat="1"/>
    <xf numFmtId="3" fontId="4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/>
    <xf numFmtId="49" fontId="5" fillId="0" borderId="0" xfId="0" applyNumberFormat="1" applyFont="1"/>
    <xf numFmtId="3" fontId="5" fillId="0" borderId="0" xfId="0" applyNumberFormat="1" applyFont="1"/>
    <xf numFmtId="3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Fill="1" applyBorder="1" applyAlignment="1">
      <alignment horizontal="center"/>
    </xf>
    <xf numFmtId="0" fontId="7" fillId="0" borderId="0" xfId="0" applyFont="1"/>
    <xf numFmtId="9" fontId="4" fillId="0" borderId="0" xfId="0" applyNumberFormat="1" applyFont="1"/>
    <xf numFmtId="10" fontId="4" fillId="0" borderId="0" xfId="0" applyNumberFormat="1" applyFont="1"/>
    <xf numFmtId="9" fontId="6" fillId="0" borderId="0" xfId="0" applyNumberFormat="1" applyFont="1"/>
    <xf numFmtId="9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10" fontId="5" fillId="0" borderId="0" xfId="0" applyNumberFormat="1" applyFont="1"/>
    <xf numFmtId="0" fontId="8" fillId="0" borderId="0" xfId="0" applyFont="1"/>
    <xf numFmtId="4" fontId="4" fillId="0" borderId="0" xfId="0" applyNumberFormat="1" applyFont="1" applyBorder="1"/>
    <xf numFmtId="0" fontId="4" fillId="0" borderId="0" xfId="0" applyFont="1" applyBorder="1"/>
    <xf numFmtId="49" fontId="8" fillId="0" borderId="0" xfId="0" applyNumberFormat="1" applyFont="1"/>
    <xf numFmtId="4" fontId="5" fillId="0" borderId="0" xfId="0" applyNumberFormat="1" applyFont="1" applyFill="1" applyBorder="1" applyAlignment="1">
      <alignment horizontal="center"/>
    </xf>
    <xf numFmtId="3" fontId="4" fillId="0" borderId="0" xfId="0" applyNumberFormat="1" applyFont="1" applyBorder="1"/>
    <xf numFmtId="4" fontId="5" fillId="0" borderId="0" xfId="0" applyNumberFormat="1" applyFont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3" fontId="4" fillId="0" borderId="0" xfId="0" applyNumberFormat="1" applyFont="1" applyFill="1"/>
    <xf numFmtId="4" fontId="4" fillId="0" borderId="0" xfId="0" applyNumberFormat="1" applyFont="1" applyFill="1"/>
    <xf numFmtId="0" fontId="5" fillId="0" borderId="0" xfId="0" applyFont="1" applyBorder="1"/>
    <xf numFmtId="37" fontId="4" fillId="0" borderId="0" xfId="0" applyNumberFormat="1" applyFont="1"/>
    <xf numFmtId="3" fontId="5" fillId="0" borderId="0" xfId="0" applyNumberFormat="1" applyFont="1" applyBorder="1"/>
    <xf numFmtId="9" fontId="5" fillId="0" borderId="0" xfId="0" applyNumberFormat="1" applyFont="1" applyAlignment="1">
      <alignment horizontal="center"/>
    </xf>
    <xf numFmtId="0" fontId="0" fillId="0" borderId="0" xfId="0" applyNumberFormat="1"/>
    <xf numFmtId="0" fontId="2" fillId="0" borderId="0" xfId="0" applyNumberFormat="1" applyFont="1"/>
    <xf numFmtId="3" fontId="4" fillId="0" borderId="0" xfId="0" applyNumberFormat="1" applyFont="1" applyFill="1" applyBorder="1"/>
    <xf numFmtId="0" fontId="5" fillId="0" borderId="0" xfId="0" applyFont="1" applyBorder="1" applyAlignment="1">
      <alignment horizontal="center"/>
    </xf>
    <xf numFmtId="3" fontId="4" fillId="0" borderId="0" xfId="1" applyNumberFormat="1" applyFont="1" applyBorder="1"/>
    <xf numFmtId="3" fontId="4" fillId="0" borderId="0" xfId="1" applyNumberFormat="1" applyFont="1" applyFill="1" applyBorder="1"/>
    <xf numFmtId="3" fontId="4" fillId="0" borderId="0" xfId="0" applyNumberFormat="1" applyFont="1" applyFill="1" applyBorder="1" applyAlignment="1"/>
    <xf numFmtId="3" fontId="5" fillId="0" borderId="11" xfId="0" applyNumberFormat="1" applyFont="1" applyBorder="1"/>
    <xf numFmtId="3" fontId="4" fillId="0" borderId="11" xfId="0" applyNumberFormat="1" applyFont="1" applyBorder="1"/>
    <xf numFmtId="3" fontId="5" fillId="0" borderId="11" xfId="0" applyNumberFormat="1" applyFont="1" applyBorder="1" applyAlignment="1">
      <alignment horizontal="center"/>
    </xf>
    <xf numFmtId="3" fontId="4" fillId="0" borderId="11" xfId="1" applyNumberFormat="1" applyFont="1" applyBorder="1"/>
    <xf numFmtId="164" fontId="5" fillId="0" borderId="0" xfId="0" applyNumberFormat="1" applyFont="1" applyBorder="1"/>
    <xf numFmtId="164" fontId="4" fillId="0" borderId="0" xfId="0" applyNumberFormat="1" applyFont="1" applyBorder="1"/>
    <xf numFmtId="0" fontId="5" fillId="0" borderId="0" xfId="0" applyFont="1" applyAlignment="1">
      <alignment horizontal="center"/>
    </xf>
    <xf numFmtId="37" fontId="4" fillId="0" borderId="0" xfId="0" applyNumberFormat="1" applyFont="1" applyProtection="1"/>
    <xf numFmtId="3" fontId="4" fillId="0" borderId="0" xfId="0" applyNumberFormat="1" applyFont="1" applyAlignment="1">
      <alignment horizontal="right"/>
    </xf>
    <xf numFmtId="3" fontId="9" fillId="0" borderId="0" xfId="0" applyNumberFormat="1" applyFont="1"/>
    <xf numFmtId="0" fontId="0" fillId="0" borderId="0" xfId="0" applyNumberFormat="1" applyFont="1"/>
    <xf numFmtId="16" fontId="9" fillId="0" borderId="0" xfId="0" applyNumberFormat="1" applyFont="1"/>
    <xf numFmtId="3" fontId="5" fillId="0" borderId="0" xfId="0" applyNumberFormat="1" applyFont="1" applyFill="1"/>
    <xf numFmtId="3" fontId="6" fillId="0" borderId="0" xfId="0" applyNumberFormat="1" applyFont="1" applyFill="1"/>
    <xf numFmtId="3" fontId="5" fillId="0" borderId="0" xfId="0" applyNumberFormat="1" applyFont="1" applyFill="1" applyAlignment="1">
      <alignment horizontal="center"/>
    </xf>
    <xf numFmtId="3" fontId="4" fillId="0" borderId="0" xfId="0" applyNumberFormat="1" applyFont="1" applyFill="1" applyAlignment="1">
      <alignment horizontal="right"/>
    </xf>
    <xf numFmtId="3" fontId="5" fillId="2" borderId="0" xfId="0" applyNumberFormat="1" applyFont="1" applyFill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/>
    <xf numFmtId="0" fontId="4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49" fontId="5" fillId="0" borderId="0" xfId="0" applyNumberFormat="1" applyFont="1" applyFill="1"/>
    <xf numFmtId="1" fontId="5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/>
    <xf numFmtId="4" fontId="6" fillId="0" borderId="0" xfId="0" applyNumberFormat="1" applyFont="1" applyFill="1"/>
    <xf numFmtId="4" fontId="5" fillId="0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 applyAlignment="1"/>
    <xf numFmtId="4" fontId="4" fillId="2" borderId="0" xfId="0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49" fontId="5" fillId="0" borderId="0" xfId="0" quotePrefix="1" applyNumberFormat="1" applyFont="1" applyFill="1"/>
    <xf numFmtId="4" fontId="2" fillId="0" borderId="0" xfId="0" applyNumberFormat="1" applyFont="1"/>
    <xf numFmtId="4" fontId="9" fillId="0" borderId="0" xfId="0" applyNumberFormat="1" applyFont="1"/>
    <xf numFmtId="0" fontId="9" fillId="0" borderId="0" xfId="0" applyNumberFormat="1" applyFont="1"/>
    <xf numFmtId="3" fontId="4" fillId="0" borderId="11" xfId="1" applyNumberFormat="1" applyFont="1" applyFill="1" applyBorder="1"/>
    <xf numFmtId="164" fontId="4" fillId="0" borderId="0" xfId="0" applyNumberFormat="1" applyFont="1" applyFill="1" applyBorder="1"/>
    <xf numFmtId="4" fontId="4" fillId="3" borderId="0" xfId="0" applyNumberFormat="1" applyFont="1" applyFill="1" applyBorder="1" applyAlignment="1"/>
    <xf numFmtId="37" fontId="5" fillId="0" borderId="0" xfId="0" applyNumberFormat="1" applyFont="1" applyProtection="1"/>
    <xf numFmtId="37" fontId="5" fillId="0" borderId="0" xfId="0" applyNumberFormat="1" applyFont="1"/>
    <xf numFmtId="0" fontId="4" fillId="4" borderId="0" xfId="0" applyFont="1" applyFill="1" applyBorder="1"/>
    <xf numFmtId="3" fontId="4" fillId="4" borderId="0" xfId="0" applyNumberFormat="1" applyFont="1" applyFill="1" applyBorder="1"/>
    <xf numFmtId="3" fontId="4" fillId="4" borderId="11" xfId="1" applyNumberFormat="1" applyFont="1" applyFill="1" applyBorder="1"/>
    <xf numFmtId="3" fontId="4" fillId="4" borderId="0" xfId="1" applyNumberFormat="1" applyFont="1" applyFill="1" applyBorder="1"/>
    <xf numFmtId="3" fontId="4" fillId="4" borderId="0" xfId="0" applyNumberFormat="1" applyFont="1" applyFill="1" applyBorder="1" applyAlignment="1"/>
    <xf numFmtId="4" fontId="4" fillId="4" borderId="0" xfId="0" applyNumberFormat="1" applyFont="1" applyFill="1" applyBorder="1" applyAlignment="1"/>
    <xf numFmtId="4" fontId="4" fillId="4" borderId="0" xfId="0" applyNumberFormat="1" applyFont="1" applyFill="1" applyBorder="1"/>
    <xf numFmtId="1" fontId="4" fillId="4" borderId="0" xfId="0" applyNumberFormat="1" applyFont="1" applyFill="1" applyBorder="1" applyAlignment="1">
      <alignment horizontal="center"/>
    </xf>
    <xf numFmtId="0" fontId="4" fillId="5" borderId="0" xfId="0" applyFont="1" applyFill="1" applyBorder="1"/>
    <xf numFmtId="3" fontId="4" fillId="5" borderId="0" xfId="0" applyNumberFormat="1" applyFont="1" applyFill="1" applyBorder="1"/>
    <xf numFmtId="3" fontId="4" fillId="5" borderId="0" xfId="1" applyNumberFormat="1" applyFont="1" applyFill="1" applyBorder="1"/>
    <xf numFmtId="3" fontId="4" fillId="5" borderId="11" xfId="1" applyNumberFormat="1" applyFont="1" applyFill="1" applyBorder="1"/>
    <xf numFmtId="3" fontId="4" fillId="5" borderId="0" xfId="0" applyNumberFormat="1" applyFont="1" applyFill="1" applyBorder="1" applyAlignment="1"/>
    <xf numFmtId="4" fontId="4" fillId="5" borderId="0" xfId="0" applyNumberFormat="1" applyFont="1" applyFill="1" applyBorder="1" applyAlignment="1"/>
    <xf numFmtId="4" fontId="4" fillId="5" borderId="0" xfId="0" applyNumberFormat="1" applyFont="1" applyFill="1" applyBorder="1"/>
    <xf numFmtId="1" fontId="4" fillId="5" borderId="0" xfId="0" applyNumberFormat="1" applyFont="1" applyFill="1" applyBorder="1" applyAlignment="1">
      <alignment horizontal="center"/>
    </xf>
    <xf numFmtId="0" fontId="4" fillId="5" borderId="0" xfId="0" applyFont="1" applyFill="1"/>
    <xf numFmtId="3" fontId="4" fillId="5" borderId="0" xfId="0" applyNumberFormat="1" applyFont="1" applyFill="1"/>
    <xf numFmtId="4" fontId="4" fillId="5" borderId="0" xfId="0" applyNumberFormat="1" applyFont="1" applyFill="1"/>
    <xf numFmtId="0" fontId="10" fillId="0" borderId="0" xfId="0" applyFont="1"/>
    <xf numFmtId="49" fontId="10" fillId="0" borderId="0" xfId="0" applyNumberFormat="1" applyFont="1"/>
    <xf numFmtId="3" fontId="10" fillId="0" borderId="0" xfId="0" applyNumberFormat="1" applyFont="1"/>
    <xf numFmtId="3" fontId="12" fillId="0" borderId="0" xfId="0" applyNumberFormat="1" applyFont="1"/>
    <xf numFmtId="3" fontId="11" fillId="0" borderId="0" xfId="0" applyNumberFormat="1" applyFont="1"/>
    <xf numFmtId="0" fontId="10" fillId="0" borderId="1" xfId="0" applyFont="1" applyBorder="1"/>
    <xf numFmtId="0" fontId="10" fillId="0" borderId="2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11" fillId="0" borderId="3" xfId="0" applyFont="1" applyBorder="1"/>
    <xf numFmtId="3" fontId="11" fillId="0" borderId="3" xfId="0" applyNumberFormat="1" applyFont="1" applyBorder="1"/>
    <xf numFmtId="0" fontId="11" fillId="0" borderId="4" xfId="0" applyFont="1" applyBorder="1"/>
    <xf numFmtId="0" fontId="11" fillId="0" borderId="5" xfId="0" applyFont="1" applyBorder="1"/>
    <xf numFmtId="3" fontId="11" fillId="0" borderId="4" xfId="0" applyNumberFormat="1" applyFont="1" applyBorder="1"/>
    <xf numFmtId="3" fontId="11" fillId="0" borderId="2" xfId="0" applyNumberFormat="1" applyFont="1" applyBorder="1"/>
    <xf numFmtId="3" fontId="11" fillId="0" borderId="1" xfId="0" applyNumberFormat="1" applyFont="1" applyBorder="1"/>
    <xf numFmtId="0" fontId="11" fillId="0" borderId="1" xfId="0" applyFont="1" applyBorder="1"/>
    <xf numFmtId="0" fontId="11" fillId="0" borderId="2" xfId="0" applyFont="1" applyBorder="1"/>
    <xf numFmtId="0" fontId="11" fillId="0" borderId="0" xfId="0" applyFont="1"/>
    <xf numFmtId="3" fontId="10" fillId="0" borderId="3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43" fontId="4" fillId="0" borderId="0" xfId="2" applyFont="1"/>
    <xf numFmtId="4" fontId="10" fillId="0" borderId="0" xfId="0" applyNumberFormat="1" applyFont="1"/>
    <xf numFmtId="4" fontId="10" fillId="0" borderId="3" xfId="0" applyNumberFormat="1" applyFont="1" applyBorder="1"/>
    <xf numFmtId="4" fontId="10" fillId="0" borderId="0" xfId="0" applyNumberFormat="1" applyFont="1" applyAlignment="1">
      <alignment horizontal="right"/>
    </xf>
    <xf numFmtId="3" fontId="13" fillId="0" borderId="0" xfId="0" applyNumberFormat="1" applyFont="1"/>
    <xf numFmtId="4" fontId="11" fillId="0" borderId="0" xfId="0" applyNumberFormat="1" applyFont="1"/>
    <xf numFmtId="4" fontId="11" fillId="0" borderId="3" xfId="0" applyNumberFormat="1" applyFont="1" applyBorder="1"/>
    <xf numFmtId="3" fontId="10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right"/>
    </xf>
    <xf numFmtId="3" fontId="10" fillId="0" borderId="14" xfId="0" applyNumberFormat="1" applyFont="1" applyBorder="1" applyAlignment="1">
      <alignment horizontal="center"/>
    </xf>
    <xf numFmtId="4" fontId="10" fillId="0" borderId="6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/>
    </xf>
    <xf numFmtId="4" fontId="10" fillId="0" borderId="3" xfId="0" applyNumberFormat="1" applyFont="1" applyBorder="1" applyAlignment="1">
      <alignment horizontal="center"/>
    </xf>
    <xf numFmtId="3" fontId="11" fillId="0" borderId="13" xfId="0" applyNumberFormat="1" applyFont="1" applyBorder="1"/>
    <xf numFmtId="4" fontId="10" fillId="0" borderId="1" xfId="0" applyNumberFormat="1" applyFont="1" applyBorder="1"/>
    <xf numFmtId="4" fontId="10" fillId="0" borderId="0" xfId="0" quotePrefix="1" applyNumberFormat="1" applyFont="1" applyAlignment="1">
      <alignment horizontal="center"/>
    </xf>
    <xf numFmtId="4" fontId="11" fillId="0" borderId="4" xfId="0" applyNumberFormat="1" applyFont="1" applyBorder="1"/>
    <xf numFmtId="4" fontId="11" fillId="0" borderId="1" xfId="0" applyNumberFormat="1" applyFont="1" applyBorder="1"/>
    <xf numFmtId="4" fontId="11" fillId="0" borderId="6" xfId="0" applyNumberFormat="1" applyFont="1" applyBorder="1"/>
    <xf numFmtId="4" fontId="11" fillId="0" borderId="12" xfId="0" applyNumberFormat="1" applyFont="1" applyBorder="1"/>
    <xf numFmtId="4" fontId="11" fillId="0" borderId="6" xfId="0" quotePrefix="1" applyNumberFormat="1" applyFont="1" applyBorder="1"/>
    <xf numFmtId="4" fontId="11" fillId="0" borderId="6" xfId="0" applyNumberFormat="1" applyFont="1" applyBorder="1" applyAlignment="1">
      <alignment horizontal="right"/>
    </xf>
    <xf numFmtId="4" fontId="11" fillId="0" borderId="1" xfId="1" applyNumberFormat="1" applyFont="1" applyBorder="1"/>
    <xf numFmtId="4" fontId="11" fillId="0" borderId="1" xfId="1" applyNumberFormat="1" applyFont="1" applyFill="1" applyBorder="1"/>
    <xf numFmtId="0" fontId="11" fillId="0" borderId="7" xfId="0" applyFont="1" applyBorder="1"/>
    <xf numFmtId="0" fontId="11" fillId="0" borderId="8" xfId="0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3" fontId="11" fillId="0" borderId="9" xfId="0" applyNumberFormat="1" applyFont="1" applyBorder="1"/>
    <xf numFmtId="4" fontId="11" fillId="0" borderId="10" xfId="0" applyNumberFormat="1" applyFont="1" applyBorder="1"/>
    <xf numFmtId="3" fontId="11" fillId="0" borderId="10" xfId="0" applyNumberFormat="1" applyFont="1" applyBorder="1"/>
    <xf numFmtId="4" fontId="11" fillId="0" borderId="9" xfId="0" applyNumberFormat="1" applyFont="1" applyBorder="1"/>
    <xf numFmtId="4" fontId="11" fillId="0" borderId="7" xfId="0" applyNumberFormat="1" applyFont="1" applyBorder="1"/>
    <xf numFmtId="4" fontId="11" fillId="0" borderId="10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6" fontId="4" fillId="0" borderId="0" xfId="2" applyNumberFormat="1" applyFont="1"/>
    <xf numFmtId="166" fontId="5" fillId="0" borderId="0" xfId="2" applyNumberFormat="1" applyFont="1" applyFill="1"/>
    <xf numFmtId="166" fontId="5" fillId="0" borderId="0" xfId="2" applyNumberFormat="1" applyFont="1"/>
    <xf numFmtId="166" fontId="5" fillId="0" borderId="0" xfId="2" applyNumberFormat="1" applyFont="1" applyAlignment="1">
      <alignment horizontal="right"/>
    </xf>
    <xf numFmtId="166" fontId="5" fillId="0" borderId="0" xfId="2" applyNumberFormat="1" applyFont="1" applyBorder="1" applyAlignment="1">
      <alignment horizontal="right"/>
    </xf>
    <xf numFmtId="166" fontId="5" fillId="0" borderId="0" xfId="2" applyNumberFormat="1" applyFont="1" applyBorder="1"/>
    <xf numFmtId="166" fontId="4" fillId="0" borderId="0" xfId="2" applyNumberFormat="1" applyFont="1" applyBorder="1"/>
    <xf numFmtId="0" fontId="15" fillId="0" borderId="0" xfId="0" applyFont="1"/>
    <xf numFmtId="166" fontId="16" fillId="0" borderId="0" xfId="2" applyNumberFormat="1" applyFont="1"/>
    <xf numFmtId="166" fontId="7" fillId="0" borderId="0" xfId="2" applyNumberFormat="1" applyFont="1"/>
    <xf numFmtId="166" fontId="4" fillId="0" borderId="0" xfId="2" applyNumberFormat="1" applyFont="1" applyFill="1"/>
    <xf numFmtId="166" fontId="4" fillId="0" borderId="0" xfId="2" applyNumberFormat="1" applyFont="1" applyAlignment="1">
      <alignment horizontal="right"/>
    </xf>
    <xf numFmtId="166" fontId="0" fillId="0" borderId="0" xfId="2" applyNumberFormat="1" applyFont="1"/>
    <xf numFmtId="164" fontId="4" fillId="4" borderId="0" xfId="0" applyNumberFormat="1" applyFont="1" applyFill="1" applyBorder="1"/>
    <xf numFmtId="4" fontId="0" fillId="0" borderId="0" xfId="0" applyNumberFormat="1" applyFill="1"/>
    <xf numFmtId="166" fontId="0" fillId="0" borderId="0" xfId="2" applyNumberFormat="1" applyFont="1" applyFill="1"/>
    <xf numFmtId="164" fontId="4" fillId="4" borderId="0" xfId="0" applyNumberFormat="1" applyFont="1" applyFill="1"/>
    <xf numFmtId="166" fontId="5" fillId="0" borderId="0" xfId="2" applyNumberFormat="1" applyFont="1" applyAlignment="1">
      <alignment horizontal="center"/>
    </xf>
    <xf numFmtId="166" fontId="5" fillId="0" borderId="0" xfId="2" applyNumberFormat="1" applyFont="1" applyBorder="1" applyAlignment="1">
      <alignment horizontal="center"/>
    </xf>
    <xf numFmtId="166" fontId="11" fillId="0" borderId="0" xfId="2" applyNumberFormat="1" applyFont="1"/>
    <xf numFmtId="43" fontId="0" fillId="0" borderId="0" xfId="2" applyFont="1"/>
    <xf numFmtId="166" fontId="5" fillId="0" borderId="0" xfId="2" applyNumberFormat="1" applyFont="1" applyFill="1" applyBorder="1" applyAlignment="1">
      <alignment horizontal="center"/>
    </xf>
    <xf numFmtId="166" fontId="11" fillId="0" borderId="1" xfId="2" applyNumberFormat="1" applyFont="1" applyBorder="1"/>
    <xf numFmtId="43" fontId="11" fillId="0" borderId="1" xfId="2" applyFont="1" applyBorder="1"/>
    <xf numFmtId="166" fontId="11" fillId="0" borderId="15" xfId="2" applyNumberFormat="1" applyFont="1" applyBorder="1"/>
    <xf numFmtId="166" fontId="11" fillId="0" borderId="4" xfId="2" applyNumberFormat="1" applyFont="1" applyBorder="1"/>
    <xf numFmtId="166" fontId="11" fillId="0" borderId="10" xfId="2" applyNumberFormat="1" applyFont="1" applyBorder="1"/>
    <xf numFmtId="4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3" fontId="10" fillId="0" borderId="0" xfId="0" applyNumberFormat="1" applyFont="1" applyAlignment="1">
      <alignment horizontal="center"/>
    </xf>
    <xf numFmtId="3" fontId="10" fillId="0" borderId="3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6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77"/>
  <sheetViews>
    <sheetView tabSelected="1" zoomScaleNormal="100" zoomScaleSheetLayoutView="10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A6" sqref="A6:B6"/>
    </sheetView>
  </sheetViews>
  <sheetFormatPr defaultColWidth="9.140625" defaultRowHeight="15.75" x14ac:dyDescent="0.25"/>
  <cols>
    <col min="1" max="1" width="7.42578125" style="129" customWidth="1"/>
    <col min="2" max="2" width="40" style="129" bestFit="1" customWidth="1"/>
    <col min="3" max="3" width="14" style="115" customWidth="1"/>
    <col min="4" max="4" width="13.5703125" style="115" customWidth="1"/>
    <col min="5" max="5" width="15.28515625" style="115" bestFit="1" customWidth="1"/>
    <col min="6" max="6" width="16.5703125" style="115" bestFit="1" customWidth="1"/>
    <col min="7" max="7" width="14.5703125" style="115" bestFit="1" customWidth="1"/>
    <col min="8" max="8" width="13.42578125" style="115" customWidth="1"/>
    <col min="9" max="9" width="13.5703125" style="115" customWidth="1"/>
    <col min="10" max="10" width="17.7109375" style="115" customWidth="1"/>
    <col min="11" max="11" width="14.28515625" style="115" customWidth="1"/>
    <col min="12" max="12" width="13.42578125" style="115" bestFit="1" customWidth="1"/>
    <col min="13" max="13" width="15.28515625" style="150" customWidth="1"/>
    <col min="14" max="14" width="12.7109375" style="138" hidden="1" customWidth="1"/>
    <col min="15" max="15" width="13.140625" style="115" customWidth="1"/>
    <col min="16" max="16" width="15.28515625" style="138" customWidth="1"/>
    <col min="17" max="22" width="15.28515625" style="138" hidden="1" customWidth="1"/>
    <col min="23" max="23" width="16.5703125" style="139" hidden="1" customWidth="1"/>
    <col min="24" max="24" width="15.28515625" style="138" hidden="1" customWidth="1"/>
    <col min="25" max="26" width="12.140625" style="138" hidden="1" customWidth="1"/>
    <col min="27" max="27" width="16.5703125" style="141" hidden="1" customWidth="1"/>
    <col min="28" max="28" width="16.28515625" style="138" hidden="1" customWidth="1"/>
    <col min="29" max="29" width="12.28515625" style="138" hidden="1" customWidth="1"/>
    <col min="30" max="30" width="9.140625" style="138" hidden="1" customWidth="1"/>
    <col min="31" max="31" width="15.28515625" style="138" bestFit="1" customWidth="1"/>
    <col min="32" max="32" width="11.7109375" style="138" customWidth="1"/>
    <col min="33" max="33" width="10.140625" style="138" customWidth="1"/>
    <col min="34" max="35" width="12.7109375" style="138" customWidth="1"/>
    <col min="36" max="36" width="13.42578125" style="138" customWidth="1"/>
    <col min="37" max="42" width="9.140625" style="138"/>
    <col min="43" max="16384" width="9.140625" style="129"/>
  </cols>
  <sheetData>
    <row r="1" spans="1:42" s="111" customFormat="1" x14ac:dyDescent="0.25">
      <c r="A1" s="111" t="s">
        <v>176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34"/>
      <c r="N1" s="134"/>
      <c r="O1" s="113"/>
      <c r="P1" s="134"/>
      <c r="Q1" s="134"/>
      <c r="R1" s="134"/>
      <c r="S1" s="134"/>
      <c r="T1" s="134"/>
      <c r="U1" s="134"/>
      <c r="V1" s="134"/>
      <c r="W1" s="135"/>
      <c r="X1" s="134"/>
      <c r="Y1" s="134"/>
      <c r="Z1" s="134"/>
      <c r="AA1" s="136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</row>
    <row r="2" spans="1:42" s="111" customFormat="1" x14ac:dyDescent="0.25">
      <c r="A2" s="111" t="s">
        <v>39</v>
      </c>
      <c r="C2" s="113"/>
      <c r="D2" s="113"/>
      <c r="E2" s="113"/>
      <c r="F2" s="113"/>
      <c r="G2" s="113"/>
      <c r="H2" s="113"/>
      <c r="I2" s="114"/>
      <c r="J2" s="113"/>
      <c r="K2" s="113"/>
      <c r="L2" s="113"/>
      <c r="M2" s="134"/>
      <c r="N2" s="134"/>
      <c r="O2" s="113"/>
      <c r="P2" s="134"/>
      <c r="Q2" s="134"/>
      <c r="R2" s="134"/>
      <c r="S2" s="134"/>
      <c r="T2" s="134"/>
      <c r="U2" s="134"/>
      <c r="V2" s="134"/>
      <c r="W2" s="135"/>
      <c r="X2" s="134"/>
      <c r="Y2" s="134"/>
      <c r="Z2" s="134"/>
      <c r="AA2" s="136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</row>
    <row r="3" spans="1:42" s="111" customFormat="1" x14ac:dyDescent="0.25"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34"/>
      <c r="N3" s="134"/>
      <c r="O3" s="113"/>
      <c r="P3" s="134"/>
      <c r="Q3" s="134"/>
      <c r="R3" s="134"/>
      <c r="S3" s="134"/>
      <c r="T3" s="134"/>
      <c r="U3" s="134"/>
      <c r="V3" s="134"/>
      <c r="W3" s="135"/>
      <c r="X3" s="134"/>
      <c r="Y3" s="134"/>
      <c r="Z3" s="134"/>
      <c r="AA3" s="136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</row>
    <row r="4" spans="1:42" s="111" customFormat="1" x14ac:dyDescent="0.25">
      <c r="A4" s="111" t="s">
        <v>0</v>
      </c>
      <c r="C4" s="112" t="s">
        <v>381</v>
      </c>
      <c r="D4" s="113"/>
      <c r="E4" s="137"/>
      <c r="F4" s="137"/>
      <c r="G4" s="113"/>
      <c r="H4" s="113"/>
      <c r="I4" s="113"/>
      <c r="J4" s="113"/>
      <c r="K4" s="113"/>
      <c r="L4" s="113"/>
      <c r="M4" s="134"/>
      <c r="N4" s="134"/>
      <c r="O4" s="113"/>
      <c r="P4" s="134"/>
      <c r="Q4" s="195" t="s">
        <v>274</v>
      </c>
      <c r="R4" s="196"/>
      <c r="S4" s="196"/>
      <c r="T4" s="196"/>
      <c r="U4" s="196"/>
      <c r="V4" s="196"/>
      <c r="W4" s="197"/>
      <c r="X4" s="198" t="s">
        <v>275</v>
      </c>
      <c r="Y4" s="196"/>
      <c r="Z4" s="196"/>
      <c r="AA4" s="196"/>
      <c r="AB4" s="196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</row>
    <row r="5" spans="1:42" x14ac:dyDescent="0.25">
      <c r="A5" s="111"/>
      <c r="B5" s="111"/>
      <c r="C5" s="113"/>
      <c r="D5" s="113"/>
      <c r="E5" s="113"/>
      <c r="F5" s="113"/>
      <c r="G5" s="113"/>
      <c r="M5" s="138"/>
      <c r="O5" s="113"/>
      <c r="AA5" s="136"/>
    </row>
    <row r="6" spans="1:42" ht="16.5" customHeight="1" x14ac:dyDescent="0.25">
      <c r="A6" s="199" t="s">
        <v>1</v>
      </c>
      <c r="B6" s="200"/>
      <c r="C6" s="201" t="s">
        <v>13</v>
      </c>
      <c r="D6" s="201"/>
      <c r="E6" s="201"/>
      <c r="F6" s="201"/>
      <c r="G6" s="202"/>
      <c r="H6" s="203" t="s">
        <v>276</v>
      </c>
      <c r="I6" s="204"/>
      <c r="J6" s="204"/>
      <c r="K6" s="204"/>
      <c r="L6" s="205"/>
      <c r="M6" s="206" t="s">
        <v>277</v>
      </c>
      <c r="N6" s="206"/>
      <c r="O6" s="206"/>
      <c r="P6" s="206"/>
      <c r="Q6" s="140"/>
      <c r="R6" s="140"/>
      <c r="S6" s="140"/>
      <c r="T6" s="140"/>
      <c r="U6" s="140"/>
      <c r="V6" s="140"/>
      <c r="W6" s="130"/>
      <c r="Y6" s="136"/>
      <c r="Z6" s="141"/>
      <c r="AA6" s="136"/>
      <c r="AB6" s="141"/>
    </row>
    <row r="7" spans="1:42" x14ac:dyDescent="0.25">
      <c r="A7" s="116" t="s">
        <v>1</v>
      </c>
      <c r="B7" s="117" t="s">
        <v>2</v>
      </c>
      <c r="C7" s="118" t="s">
        <v>4</v>
      </c>
      <c r="D7" s="118" t="s">
        <v>3</v>
      </c>
      <c r="E7" s="118" t="s">
        <v>376</v>
      </c>
      <c r="F7" s="118" t="s">
        <v>16</v>
      </c>
      <c r="G7" s="119" t="s">
        <v>15</v>
      </c>
      <c r="H7" s="142" t="s">
        <v>4</v>
      </c>
      <c r="I7" s="131" t="s">
        <v>3</v>
      </c>
      <c r="J7" s="131" t="s">
        <v>376</v>
      </c>
      <c r="K7" s="131" t="s">
        <v>16</v>
      </c>
      <c r="L7" s="132" t="s">
        <v>15</v>
      </c>
      <c r="M7" s="143" t="s">
        <v>278</v>
      </c>
      <c r="N7" s="143" t="s">
        <v>279</v>
      </c>
      <c r="O7" s="131" t="s">
        <v>14</v>
      </c>
      <c r="P7" s="143" t="s">
        <v>280</v>
      </c>
      <c r="Q7" s="144" t="s">
        <v>281</v>
      </c>
      <c r="R7" s="144" t="s">
        <v>282</v>
      </c>
      <c r="S7" s="144" t="s">
        <v>283</v>
      </c>
      <c r="T7" s="144" t="s">
        <v>284</v>
      </c>
      <c r="U7" s="144" t="s">
        <v>285</v>
      </c>
      <c r="V7" s="144" t="s">
        <v>286</v>
      </c>
      <c r="W7" s="145" t="s">
        <v>287</v>
      </c>
      <c r="X7" s="144" t="s">
        <v>114</v>
      </c>
      <c r="Y7" s="136" t="s">
        <v>113</v>
      </c>
      <c r="Z7" s="136" t="s">
        <v>285</v>
      </c>
      <c r="AA7" s="136" t="s">
        <v>287</v>
      </c>
      <c r="AB7" s="141"/>
    </row>
    <row r="8" spans="1:42" x14ac:dyDescent="0.25">
      <c r="B8" s="120"/>
      <c r="G8" s="121"/>
      <c r="H8" s="146"/>
      <c r="L8" s="121"/>
      <c r="M8" s="147"/>
      <c r="N8" s="134"/>
      <c r="X8" s="148"/>
      <c r="Y8" s="136"/>
      <c r="Z8" s="136"/>
      <c r="AA8" s="136"/>
      <c r="AB8" s="136" t="s">
        <v>43</v>
      </c>
    </row>
    <row r="9" spans="1:42" x14ac:dyDescent="0.25">
      <c r="A9" s="122">
        <v>100</v>
      </c>
      <c r="B9" s="123" t="s">
        <v>167</v>
      </c>
      <c r="C9" s="124">
        <v>73507065.810000002</v>
      </c>
      <c r="D9" s="124">
        <v>74724623</v>
      </c>
      <c r="E9" s="124">
        <v>22396771.459999993</v>
      </c>
      <c r="F9" s="124">
        <v>81437883.459999993</v>
      </c>
      <c r="G9" s="125">
        <f>+D9-F9</f>
        <v>-6713260.4599999934</v>
      </c>
      <c r="H9" s="124">
        <v>73507065.810000002</v>
      </c>
      <c r="I9" s="124">
        <v>74724623</v>
      </c>
      <c r="J9" s="124">
        <v>17334673.380000003</v>
      </c>
      <c r="K9" s="124">
        <v>65867586.789999999</v>
      </c>
      <c r="L9" s="125">
        <f>+I9-K9</f>
        <v>8857036.2100000009</v>
      </c>
      <c r="M9" s="192"/>
      <c r="N9" s="149"/>
      <c r="O9" s="126">
        <f>+F9-K9</f>
        <v>15570296.669999994</v>
      </c>
      <c r="P9" s="126">
        <f t="shared" ref="P9:P22" si="0">SUM(M9:O9)</f>
        <v>15570296.669999994</v>
      </c>
      <c r="Q9" s="151"/>
      <c r="R9" s="151">
        <v>124872.76</v>
      </c>
      <c r="S9" s="151">
        <v>1890</v>
      </c>
      <c r="T9" s="151">
        <v>16489.75</v>
      </c>
      <c r="U9" s="151">
        <v>422.37</v>
      </c>
      <c r="V9" s="151"/>
      <c r="W9" s="152">
        <f t="shared" ref="W9:W24" si="1">SUM(P9:V9)</f>
        <v>15713971.549999993</v>
      </c>
      <c r="X9" s="153">
        <v>10781544.74</v>
      </c>
      <c r="Y9" s="151">
        <v>548213.04</v>
      </c>
      <c r="Z9" s="153">
        <v>-836.66</v>
      </c>
      <c r="AA9" s="154">
        <f t="shared" ref="AA9:AA22" si="2">SUM(X9:Z9)</f>
        <v>11328921.120000001</v>
      </c>
      <c r="AB9" s="151">
        <f t="shared" ref="AB9:AB24" si="3">+W9-AA9</f>
        <v>4385050.4299999923</v>
      </c>
    </row>
    <row r="10" spans="1:42" x14ac:dyDescent="0.25">
      <c r="A10" s="127">
        <v>200</v>
      </c>
      <c r="B10" s="128" t="s">
        <v>168</v>
      </c>
      <c r="C10" s="126">
        <v>6225758.4299999997</v>
      </c>
      <c r="D10" s="126">
        <v>938048</v>
      </c>
      <c r="E10" s="126">
        <v>303789.09999999963</v>
      </c>
      <c r="F10" s="126">
        <v>-9584551.1699999999</v>
      </c>
      <c r="G10" s="125">
        <f t="shared" ref="G10:G18" si="4">+D10-F10</f>
        <v>10522599.17</v>
      </c>
      <c r="H10" s="126">
        <v>6225758.4299999997</v>
      </c>
      <c r="I10" s="126">
        <v>938048</v>
      </c>
      <c r="J10" s="126">
        <v>281311.66000000003</v>
      </c>
      <c r="K10" s="126">
        <v>963427.31</v>
      </c>
      <c r="L10" s="125">
        <f t="shared" ref="L10:L23" si="5">+I10-K10</f>
        <v>-25379.310000000056</v>
      </c>
      <c r="M10" s="192"/>
      <c r="N10" s="155"/>
      <c r="O10" s="126">
        <f t="shared" ref="O10:O22" si="6">+F10-K10</f>
        <v>-10547978.48</v>
      </c>
      <c r="P10" s="126">
        <f t="shared" si="0"/>
        <v>-10547978.48</v>
      </c>
      <c r="Q10" s="150"/>
      <c r="R10" s="150"/>
      <c r="S10" s="150"/>
      <c r="T10" s="150"/>
      <c r="U10" s="150"/>
      <c r="V10" s="150"/>
      <c r="W10" s="152">
        <f t="shared" si="1"/>
        <v>-10547978.48</v>
      </c>
      <c r="X10" s="150">
        <v>68068.649999999994</v>
      </c>
      <c r="Y10" s="150"/>
      <c r="Z10" s="150"/>
      <c r="AA10" s="154">
        <f t="shared" si="2"/>
        <v>68068.649999999994</v>
      </c>
      <c r="AB10" s="151">
        <f t="shared" si="3"/>
        <v>-10616047.130000001</v>
      </c>
    </row>
    <row r="11" spans="1:42" x14ac:dyDescent="0.25">
      <c r="A11" s="127">
        <v>204</v>
      </c>
      <c r="B11" s="128" t="s">
        <v>169</v>
      </c>
      <c r="C11" s="126">
        <v>1339</v>
      </c>
      <c r="D11" s="126">
        <v>5987385</v>
      </c>
      <c r="E11" s="126">
        <v>1556538.3400000008</v>
      </c>
      <c r="F11" s="126">
        <v>6262642.4800000004</v>
      </c>
      <c r="G11" s="125">
        <f t="shared" si="4"/>
        <v>-275257.48000000045</v>
      </c>
      <c r="H11" s="126">
        <v>5983038</v>
      </c>
      <c r="I11" s="126">
        <v>5987385</v>
      </c>
      <c r="J11" s="126">
        <v>1605316.8499999996</v>
      </c>
      <c r="K11" s="126">
        <v>5821842.46</v>
      </c>
      <c r="L11" s="125">
        <f t="shared" si="5"/>
        <v>165542.54000000004</v>
      </c>
      <c r="M11" s="192"/>
      <c r="N11" s="155"/>
      <c r="O11" s="126">
        <f t="shared" si="6"/>
        <v>440800.02000000048</v>
      </c>
      <c r="P11" s="126">
        <f t="shared" si="0"/>
        <v>440800.02000000048</v>
      </c>
      <c r="Q11" s="150"/>
      <c r="R11" s="150"/>
      <c r="S11" s="150"/>
      <c r="T11" s="150"/>
      <c r="U11" s="150"/>
      <c r="V11" s="150"/>
      <c r="W11" s="152"/>
      <c r="X11" s="150"/>
      <c r="Y11" s="150"/>
      <c r="Z11" s="150"/>
      <c r="AA11" s="154"/>
      <c r="AB11" s="151"/>
    </row>
    <row r="12" spans="1:42" x14ac:dyDescent="0.25">
      <c r="A12" s="127">
        <v>210</v>
      </c>
      <c r="B12" s="128" t="s">
        <v>380</v>
      </c>
      <c r="C12" s="190">
        <v>0</v>
      </c>
      <c r="D12" s="190">
        <v>0</v>
      </c>
      <c r="E12" s="126">
        <v>10480919.500000002</v>
      </c>
      <c r="F12" s="126">
        <v>24634293.510000002</v>
      </c>
      <c r="G12" s="125">
        <f t="shared" si="4"/>
        <v>-24634293.510000002</v>
      </c>
      <c r="H12" s="191">
        <v>0</v>
      </c>
      <c r="I12" s="191">
        <v>0</v>
      </c>
      <c r="J12" s="126">
        <v>439323.02</v>
      </c>
      <c r="K12" s="126">
        <v>3192263.83</v>
      </c>
      <c r="L12" s="125">
        <f t="shared" si="5"/>
        <v>-3192263.83</v>
      </c>
      <c r="M12" s="192"/>
      <c r="N12" s="155"/>
      <c r="O12" s="126">
        <f t="shared" ref="O12" si="7">+F12-K12</f>
        <v>21442029.68</v>
      </c>
      <c r="P12" s="126">
        <f t="shared" ref="P12" si="8">SUM(M12:O12)</f>
        <v>21442029.68</v>
      </c>
      <c r="Q12" s="150"/>
      <c r="R12" s="150"/>
      <c r="S12" s="150"/>
      <c r="T12" s="150"/>
      <c r="U12" s="150"/>
      <c r="V12" s="150"/>
      <c r="W12" s="152"/>
      <c r="X12" s="150"/>
      <c r="Y12" s="150"/>
      <c r="Z12" s="150"/>
      <c r="AA12" s="154"/>
      <c r="AB12" s="151"/>
    </row>
    <row r="13" spans="1:42" x14ac:dyDescent="0.25">
      <c r="A13" s="127">
        <v>213</v>
      </c>
      <c r="B13" s="128" t="s">
        <v>170</v>
      </c>
      <c r="C13" s="126">
        <v>1964001</v>
      </c>
      <c r="D13" s="126">
        <v>632000</v>
      </c>
      <c r="E13" s="126">
        <v>75228.650000000023</v>
      </c>
      <c r="F13" s="126">
        <v>752811.38</v>
      </c>
      <c r="G13" s="125">
        <f t="shared" si="4"/>
        <v>-120811.38</v>
      </c>
      <c r="H13" s="126">
        <v>1964001</v>
      </c>
      <c r="I13" s="126">
        <v>632000</v>
      </c>
      <c r="J13" s="126">
        <v>118894.63</v>
      </c>
      <c r="K13" s="126">
        <v>392786.89</v>
      </c>
      <c r="L13" s="125">
        <f t="shared" si="5"/>
        <v>239213.11</v>
      </c>
      <c r="M13" s="192"/>
      <c r="N13" s="155"/>
      <c r="O13" s="126">
        <f t="shared" si="6"/>
        <v>360024.49</v>
      </c>
      <c r="P13" s="126">
        <f t="shared" si="0"/>
        <v>360024.49</v>
      </c>
      <c r="Q13" s="150"/>
      <c r="R13" s="150"/>
      <c r="S13" s="150"/>
      <c r="T13" s="150"/>
      <c r="U13" s="150"/>
      <c r="V13" s="150"/>
      <c r="W13" s="152"/>
      <c r="X13" s="150"/>
      <c r="Y13" s="150"/>
      <c r="Z13" s="150"/>
      <c r="AA13" s="154"/>
      <c r="AB13" s="151"/>
    </row>
    <row r="14" spans="1:42" hidden="1" x14ac:dyDescent="0.25">
      <c r="A14" s="127">
        <v>380</v>
      </c>
      <c r="B14" s="128" t="s">
        <v>171</v>
      </c>
      <c r="C14" s="126">
        <v>6264687.4000000004</v>
      </c>
      <c r="D14" s="126"/>
      <c r="E14" s="126"/>
      <c r="F14" s="126"/>
      <c r="G14" s="125">
        <f t="shared" si="4"/>
        <v>0</v>
      </c>
      <c r="H14" s="126">
        <v>6264687.4000000004</v>
      </c>
      <c r="I14" s="126"/>
      <c r="J14" s="126"/>
      <c r="K14" s="126"/>
      <c r="L14" s="125">
        <f t="shared" si="5"/>
        <v>0</v>
      </c>
      <c r="M14" s="192"/>
      <c r="N14" s="155"/>
      <c r="O14" s="126">
        <f t="shared" si="6"/>
        <v>0</v>
      </c>
      <c r="P14" s="126">
        <f t="shared" si="0"/>
        <v>0</v>
      </c>
      <c r="Q14" s="150"/>
      <c r="R14" s="150"/>
      <c r="S14" s="150"/>
      <c r="T14" s="150"/>
      <c r="U14" s="150"/>
      <c r="V14" s="150"/>
      <c r="W14" s="152"/>
      <c r="X14" s="150"/>
      <c r="Y14" s="150"/>
      <c r="Z14" s="150"/>
      <c r="AA14" s="154"/>
      <c r="AB14" s="151"/>
    </row>
    <row r="15" spans="1:42" x14ac:dyDescent="0.25">
      <c r="A15" s="127">
        <v>501</v>
      </c>
      <c r="B15" s="128" t="s">
        <v>172</v>
      </c>
      <c r="C15" s="126">
        <v>15119619</v>
      </c>
      <c r="D15" s="126">
        <v>13475933</v>
      </c>
      <c r="E15" s="126">
        <v>4796170.4500000011</v>
      </c>
      <c r="F15" s="126">
        <v>17899640.030000001</v>
      </c>
      <c r="G15" s="125">
        <f t="shared" si="4"/>
        <v>-4423707.0300000012</v>
      </c>
      <c r="H15" s="126">
        <v>15119619</v>
      </c>
      <c r="I15" s="126">
        <v>13475933</v>
      </c>
      <c r="J15" s="126">
        <v>3153752.55</v>
      </c>
      <c r="K15" s="126">
        <v>11082764.189999999</v>
      </c>
      <c r="L15" s="125">
        <f t="shared" si="5"/>
        <v>2393168.8100000005</v>
      </c>
      <c r="M15" s="192"/>
      <c r="N15" s="155"/>
      <c r="O15" s="126">
        <f t="shared" si="6"/>
        <v>6816875.8400000017</v>
      </c>
      <c r="P15" s="126">
        <f t="shared" si="0"/>
        <v>6816875.8400000017</v>
      </c>
      <c r="Q15" s="150"/>
      <c r="R15" s="150"/>
      <c r="S15" s="150"/>
      <c r="T15" s="150"/>
      <c r="U15" s="150"/>
      <c r="V15" s="150"/>
      <c r="W15" s="152"/>
      <c r="X15" s="150"/>
      <c r="Y15" s="150"/>
      <c r="Z15" s="150"/>
      <c r="AA15" s="154"/>
      <c r="AB15" s="151"/>
    </row>
    <row r="16" spans="1:42" x14ac:dyDescent="0.25">
      <c r="A16" s="127">
        <v>502</v>
      </c>
      <c r="B16" s="128" t="s">
        <v>173</v>
      </c>
      <c r="C16" s="126">
        <v>1460249</v>
      </c>
      <c r="D16" s="126">
        <v>1057003</v>
      </c>
      <c r="E16" s="126">
        <v>345483.10000000009</v>
      </c>
      <c r="F16" s="126">
        <v>1403459.04</v>
      </c>
      <c r="G16" s="125">
        <f t="shared" si="4"/>
        <v>-346456.04000000004</v>
      </c>
      <c r="H16" s="126">
        <v>1460249</v>
      </c>
      <c r="I16" s="126">
        <v>1057003</v>
      </c>
      <c r="J16" s="126">
        <v>139975.96000000002</v>
      </c>
      <c r="K16" s="126">
        <v>561494.29</v>
      </c>
      <c r="L16" s="125">
        <f t="shared" si="5"/>
        <v>495508.70999999996</v>
      </c>
      <c r="M16" s="192"/>
      <c r="N16" s="155"/>
      <c r="O16" s="126">
        <f t="shared" si="6"/>
        <v>841964.75</v>
      </c>
      <c r="P16" s="126">
        <f t="shared" si="0"/>
        <v>841964.75</v>
      </c>
      <c r="Q16" s="150"/>
      <c r="R16" s="150"/>
      <c r="S16" s="150"/>
      <c r="T16" s="150"/>
      <c r="U16" s="150"/>
      <c r="V16" s="150"/>
      <c r="W16" s="152"/>
      <c r="X16" s="150"/>
      <c r="Y16" s="150"/>
      <c r="Z16" s="150"/>
      <c r="AA16" s="154"/>
      <c r="AB16" s="151"/>
    </row>
    <row r="17" spans="1:29" x14ac:dyDescent="0.25">
      <c r="A17" s="127">
        <v>550</v>
      </c>
      <c r="B17" s="128" t="s">
        <v>174</v>
      </c>
      <c r="C17" s="126">
        <v>1204850</v>
      </c>
      <c r="D17" s="126">
        <v>1205079</v>
      </c>
      <c r="E17" s="126">
        <v>450868.6399999999</v>
      </c>
      <c r="F17" s="126">
        <v>1185719.43</v>
      </c>
      <c r="G17" s="125">
        <f t="shared" si="4"/>
        <v>19359.570000000065</v>
      </c>
      <c r="H17" s="126">
        <v>1204850</v>
      </c>
      <c r="I17" s="126">
        <v>1205079</v>
      </c>
      <c r="J17" s="126">
        <v>274756.18999999994</v>
      </c>
      <c r="K17" s="126">
        <v>1121494.8799999999</v>
      </c>
      <c r="L17" s="125">
        <f t="shared" si="5"/>
        <v>83584.120000000112</v>
      </c>
      <c r="M17" s="192"/>
      <c r="N17" s="156"/>
      <c r="O17" s="126">
        <f t="shared" si="6"/>
        <v>64224.550000000047</v>
      </c>
      <c r="P17" s="126">
        <f t="shared" si="0"/>
        <v>64224.550000000047</v>
      </c>
      <c r="Q17" s="150"/>
      <c r="R17" s="150"/>
      <c r="S17" s="150"/>
      <c r="T17" s="150"/>
      <c r="U17" s="150"/>
      <c r="V17" s="150"/>
      <c r="W17" s="152">
        <f t="shared" si="1"/>
        <v>64224.550000000047</v>
      </c>
      <c r="X17" s="150">
        <v>4607.5600000000004</v>
      </c>
      <c r="Y17" s="150"/>
      <c r="Z17" s="150"/>
      <c r="AA17" s="154">
        <f t="shared" si="2"/>
        <v>4607.5600000000004</v>
      </c>
      <c r="AB17" s="151">
        <f t="shared" si="3"/>
        <v>59616.990000000049</v>
      </c>
    </row>
    <row r="18" spans="1:29" x14ac:dyDescent="0.25">
      <c r="A18" s="127">
        <v>575</v>
      </c>
      <c r="B18" s="128" t="s">
        <v>175</v>
      </c>
      <c r="C18" s="126">
        <v>6104218</v>
      </c>
      <c r="D18" s="126">
        <v>5593585</v>
      </c>
      <c r="E18" s="126">
        <v>1219856.6800000006</v>
      </c>
      <c r="F18" s="126">
        <v>5695842.4500000002</v>
      </c>
      <c r="G18" s="125">
        <f t="shared" si="4"/>
        <v>-102257.45000000019</v>
      </c>
      <c r="H18" s="126">
        <v>6104218</v>
      </c>
      <c r="I18" s="126">
        <v>5593585</v>
      </c>
      <c r="J18" s="126">
        <v>2032518.83</v>
      </c>
      <c r="K18" s="126">
        <v>5345922.5</v>
      </c>
      <c r="L18" s="125">
        <f t="shared" si="5"/>
        <v>247662.5</v>
      </c>
      <c r="M18" s="192"/>
      <c r="N18" s="156"/>
      <c r="O18" s="126">
        <f t="shared" si="6"/>
        <v>349919.95000000019</v>
      </c>
      <c r="P18" s="126">
        <f t="shared" si="0"/>
        <v>349919.95000000019</v>
      </c>
      <c r="Q18" s="150"/>
      <c r="R18" s="150"/>
      <c r="S18" s="150"/>
      <c r="T18" s="150"/>
      <c r="U18" s="150"/>
      <c r="V18" s="150"/>
      <c r="W18" s="152">
        <f t="shared" si="1"/>
        <v>349919.95000000019</v>
      </c>
      <c r="X18" s="150">
        <v>4056.24</v>
      </c>
      <c r="Y18" s="150"/>
      <c r="Z18" s="150"/>
      <c r="AA18" s="154">
        <f t="shared" si="2"/>
        <v>4056.24</v>
      </c>
      <c r="AB18" s="151">
        <f t="shared" si="3"/>
        <v>345863.7100000002</v>
      </c>
    </row>
    <row r="19" spans="1:29" hidden="1" x14ac:dyDescent="0.25">
      <c r="A19" s="127"/>
      <c r="B19" s="128"/>
      <c r="C19" s="126"/>
      <c r="D19" s="126"/>
      <c r="E19" s="126"/>
      <c r="F19" s="126"/>
      <c r="G19" s="125"/>
      <c r="H19" s="126"/>
      <c r="I19" s="126"/>
      <c r="J19" s="126"/>
      <c r="K19" s="126"/>
      <c r="L19" s="125">
        <f t="shared" si="5"/>
        <v>0</v>
      </c>
      <c r="M19" s="192"/>
      <c r="N19" s="156"/>
      <c r="O19" s="126">
        <f t="shared" si="6"/>
        <v>0</v>
      </c>
      <c r="P19" s="126">
        <f t="shared" si="0"/>
        <v>0</v>
      </c>
      <c r="Q19" s="150"/>
      <c r="R19" s="150"/>
      <c r="S19" s="150"/>
      <c r="T19" s="150"/>
      <c r="U19" s="150"/>
      <c r="V19" s="150"/>
      <c r="W19" s="152">
        <f t="shared" si="1"/>
        <v>0</v>
      </c>
      <c r="X19" s="150">
        <v>13207.25</v>
      </c>
      <c r="Y19" s="150"/>
      <c r="Z19" s="150"/>
      <c r="AA19" s="154">
        <f t="shared" si="2"/>
        <v>13207.25</v>
      </c>
      <c r="AB19" s="151">
        <f t="shared" si="3"/>
        <v>-13207.25</v>
      </c>
    </row>
    <row r="20" spans="1:29" hidden="1" x14ac:dyDescent="0.25">
      <c r="A20" s="127"/>
      <c r="B20" s="128"/>
      <c r="C20" s="126"/>
      <c r="D20" s="126"/>
      <c r="E20" s="126"/>
      <c r="F20" s="126"/>
      <c r="G20" s="125"/>
      <c r="H20" s="126"/>
      <c r="I20" s="126"/>
      <c r="J20" s="126"/>
      <c r="K20" s="126"/>
      <c r="L20" s="125">
        <f t="shared" si="5"/>
        <v>0</v>
      </c>
      <c r="M20" s="192"/>
      <c r="N20" s="156"/>
      <c r="O20" s="126">
        <f t="shared" si="6"/>
        <v>0</v>
      </c>
      <c r="P20" s="126">
        <f t="shared" si="0"/>
        <v>0</v>
      </c>
      <c r="Q20" s="150"/>
      <c r="R20" s="150"/>
      <c r="S20" s="150"/>
      <c r="T20" s="150"/>
      <c r="U20" s="150"/>
      <c r="V20" s="150"/>
      <c r="W20" s="152">
        <f t="shared" si="1"/>
        <v>0</v>
      </c>
      <c r="X20" s="150">
        <v>235469.47</v>
      </c>
      <c r="Y20" s="150"/>
      <c r="Z20" s="150"/>
      <c r="AA20" s="154">
        <f t="shared" si="2"/>
        <v>235469.47</v>
      </c>
      <c r="AB20" s="151">
        <f t="shared" si="3"/>
        <v>-235469.47</v>
      </c>
    </row>
    <row r="21" spans="1:29" hidden="1" x14ac:dyDescent="0.25">
      <c r="A21" s="127"/>
      <c r="B21" s="128"/>
      <c r="C21" s="126"/>
      <c r="D21" s="126"/>
      <c r="E21" s="126"/>
      <c r="F21" s="126"/>
      <c r="G21" s="125"/>
      <c r="H21" s="126"/>
      <c r="I21" s="126"/>
      <c r="J21" s="126"/>
      <c r="K21" s="126"/>
      <c r="L21" s="125">
        <f t="shared" si="5"/>
        <v>0</v>
      </c>
      <c r="M21" s="192"/>
      <c r="N21" s="156"/>
      <c r="O21" s="126">
        <f t="shared" si="6"/>
        <v>0</v>
      </c>
      <c r="P21" s="126">
        <f t="shared" si="0"/>
        <v>0</v>
      </c>
      <c r="Q21" s="150"/>
      <c r="R21" s="150"/>
      <c r="S21" s="150"/>
      <c r="T21" s="150"/>
      <c r="U21" s="150"/>
      <c r="V21" s="150"/>
      <c r="W21" s="152">
        <f t="shared" si="1"/>
        <v>0</v>
      </c>
      <c r="X21" s="150">
        <v>93374.56</v>
      </c>
      <c r="Y21" s="150"/>
      <c r="Z21" s="150"/>
      <c r="AA21" s="154">
        <f t="shared" si="2"/>
        <v>93374.56</v>
      </c>
      <c r="AB21" s="151">
        <f t="shared" si="3"/>
        <v>-93374.56</v>
      </c>
    </row>
    <row r="22" spans="1:29" hidden="1" x14ac:dyDescent="0.25">
      <c r="A22" s="127"/>
      <c r="B22" s="128"/>
      <c r="C22" s="126"/>
      <c r="D22" s="126"/>
      <c r="E22" s="126"/>
      <c r="F22" s="126"/>
      <c r="G22" s="125"/>
      <c r="H22" s="126"/>
      <c r="I22" s="126"/>
      <c r="J22" s="126"/>
      <c r="K22" s="126"/>
      <c r="L22" s="125">
        <f t="shared" si="5"/>
        <v>0</v>
      </c>
      <c r="M22" s="192"/>
      <c r="N22" s="156"/>
      <c r="O22" s="126">
        <f t="shared" si="6"/>
        <v>0</v>
      </c>
      <c r="P22" s="126">
        <f t="shared" si="0"/>
        <v>0</v>
      </c>
      <c r="Q22" s="150"/>
      <c r="R22" s="150"/>
      <c r="S22" s="150"/>
      <c r="T22" s="150"/>
      <c r="U22" s="150"/>
      <c r="V22" s="150"/>
      <c r="W22" s="152">
        <f t="shared" si="1"/>
        <v>0</v>
      </c>
      <c r="X22" s="150">
        <v>0</v>
      </c>
      <c r="Y22" s="150"/>
      <c r="Z22" s="150"/>
      <c r="AA22" s="154">
        <f t="shared" si="2"/>
        <v>0</v>
      </c>
      <c r="AB22" s="151">
        <f t="shared" si="3"/>
        <v>0</v>
      </c>
    </row>
    <row r="23" spans="1:29" hidden="1" x14ac:dyDescent="0.25">
      <c r="A23" s="127"/>
      <c r="B23" s="128"/>
      <c r="C23" s="126"/>
      <c r="D23" s="126"/>
      <c r="E23" s="126"/>
      <c r="F23" s="126"/>
      <c r="G23" s="125"/>
      <c r="H23" s="126"/>
      <c r="I23" s="126"/>
      <c r="J23" s="126"/>
      <c r="K23" s="126"/>
      <c r="L23" s="125">
        <f t="shared" si="5"/>
        <v>0</v>
      </c>
      <c r="M23" s="193"/>
      <c r="N23" s="149"/>
      <c r="O23" s="124"/>
      <c r="P23" s="124"/>
      <c r="Q23" s="149"/>
      <c r="R23" s="149"/>
      <c r="S23" s="149"/>
      <c r="T23" s="149"/>
      <c r="U23" s="149"/>
      <c r="V23" s="149"/>
    </row>
    <row r="24" spans="1:29" ht="16.5" thickBot="1" x14ac:dyDescent="0.3">
      <c r="A24" s="157"/>
      <c r="B24" s="158" t="s">
        <v>12</v>
      </c>
      <c r="C24" s="159">
        <f t="shared" ref="C24:V24" si="9">SUM(C6:C22)</f>
        <v>111851787.64000002</v>
      </c>
      <c r="D24" s="159">
        <f t="shared" si="9"/>
        <v>103613656</v>
      </c>
      <c r="E24" s="159">
        <f t="shared" si="9"/>
        <v>41625625.920000002</v>
      </c>
      <c r="F24" s="159">
        <f t="shared" si="9"/>
        <v>129687740.61000001</v>
      </c>
      <c r="G24" s="160">
        <f t="shared" si="9"/>
        <v>-26074084.609999992</v>
      </c>
      <c r="H24" s="159">
        <f t="shared" si="9"/>
        <v>117833486.64000002</v>
      </c>
      <c r="I24" s="159">
        <f t="shared" si="9"/>
        <v>103613656</v>
      </c>
      <c r="J24" s="159">
        <f t="shared" si="9"/>
        <v>25380523.07</v>
      </c>
      <c r="K24" s="159">
        <f t="shared" si="9"/>
        <v>94349583.140000001</v>
      </c>
      <c r="L24" s="161">
        <f t="shared" si="9"/>
        <v>9264072.8600000031</v>
      </c>
      <c r="M24" s="194">
        <f t="shared" si="9"/>
        <v>0</v>
      </c>
      <c r="N24" s="163">
        <f t="shared" si="9"/>
        <v>0</v>
      </c>
      <c r="O24" s="163">
        <f t="shared" si="9"/>
        <v>35338157.469999991</v>
      </c>
      <c r="P24" s="163">
        <f t="shared" si="9"/>
        <v>35338157.469999991</v>
      </c>
      <c r="Q24" s="162">
        <f t="shared" si="9"/>
        <v>0</v>
      </c>
      <c r="R24" s="162">
        <f t="shared" si="9"/>
        <v>124872.76</v>
      </c>
      <c r="S24" s="162">
        <f t="shared" si="9"/>
        <v>1890</v>
      </c>
      <c r="T24" s="162">
        <f t="shared" si="9"/>
        <v>16489.75</v>
      </c>
      <c r="U24" s="162">
        <f t="shared" si="9"/>
        <v>422.37</v>
      </c>
      <c r="V24" s="162">
        <f t="shared" si="9"/>
        <v>0</v>
      </c>
      <c r="W24" s="164">
        <f t="shared" si="1"/>
        <v>35481832.349999987</v>
      </c>
      <c r="X24" s="165">
        <f>SUM(X6:X22)</f>
        <v>11200328.470000003</v>
      </c>
      <c r="Y24" s="165">
        <f>SUM(Y6:Y22)</f>
        <v>548213.04</v>
      </c>
      <c r="Z24" s="165">
        <f>SUM(Z6:Z22)</f>
        <v>-836.66</v>
      </c>
      <c r="AA24" s="166">
        <f>SUM(X24:Z24)</f>
        <v>11747704.850000001</v>
      </c>
      <c r="AB24" s="162">
        <f t="shared" si="3"/>
        <v>23734127.499999985</v>
      </c>
    </row>
    <row r="25" spans="1:29" ht="13.15" hidden="1" customHeight="1" x14ac:dyDescent="0.25">
      <c r="C25" s="115">
        <v>144062700.22999999</v>
      </c>
      <c r="E25" s="115">
        <v>10918455.619999999</v>
      </c>
      <c r="F25" s="115">
        <v>37533822.700000003</v>
      </c>
      <c r="H25" s="115">
        <v>89381854.040000007</v>
      </c>
      <c r="J25" s="115">
        <v>5936622.3899999997</v>
      </c>
      <c r="K25" s="115">
        <v>38476585.869999997</v>
      </c>
      <c r="M25" s="138"/>
    </row>
    <row r="26" spans="1:29" ht="16.5" thickTop="1" x14ac:dyDescent="0.25">
      <c r="M26" s="138"/>
      <c r="X26" s="138">
        <v>34211365.469999999</v>
      </c>
      <c r="Y26" s="151"/>
      <c r="Z26" s="151">
        <v>72.260000000000005</v>
      </c>
      <c r="AA26" s="141">
        <v>34758814.109999999</v>
      </c>
    </row>
    <row r="27" spans="1:29" x14ac:dyDescent="0.25">
      <c r="E27" s="187"/>
      <c r="F27" s="187"/>
      <c r="M27" s="138"/>
      <c r="Z27" s="138">
        <f>SUM(Y24:Z26)</f>
        <v>547448.64</v>
      </c>
      <c r="AA27" s="151">
        <v>-72.260000000000005</v>
      </c>
      <c r="AB27" s="138" t="s">
        <v>288</v>
      </c>
    </row>
    <row r="28" spans="1:29" x14ac:dyDescent="0.25">
      <c r="E28" s="187"/>
      <c r="F28" s="187"/>
      <c r="M28" s="138"/>
      <c r="AC28" s="138" t="s">
        <v>289</v>
      </c>
    </row>
    <row r="29" spans="1:29" x14ac:dyDescent="0.25">
      <c r="E29" s="187"/>
      <c r="F29" s="187"/>
      <c r="M29" s="138"/>
    </row>
    <row r="30" spans="1:29" x14ac:dyDescent="0.25">
      <c r="E30" s="187"/>
      <c r="F30" s="187"/>
      <c r="M30" s="138"/>
    </row>
    <row r="31" spans="1:29" x14ac:dyDescent="0.25">
      <c r="E31" s="187"/>
      <c r="F31" s="187"/>
      <c r="M31" s="138"/>
    </row>
    <row r="32" spans="1:29" x14ac:dyDescent="0.25">
      <c r="E32" s="187"/>
      <c r="F32" s="187"/>
      <c r="M32" s="138"/>
    </row>
    <row r="33" spans="5:13" x14ac:dyDescent="0.25">
      <c r="E33" s="187"/>
      <c r="F33" s="187"/>
      <c r="M33" s="138"/>
    </row>
    <row r="34" spans="5:13" x14ac:dyDescent="0.25">
      <c r="E34" s="187"/>
      <c r="F34" s="187"/>
      <c r="M34" s="138"/>
    </row>
    <row r="35" spans="5:13" x14ac:dyDescent="0.25">
      <c r="E35" s="187"/>
      <c r="F35" s="187"/>
      <c r="M35" s="138"/>
    </row>
    <row r="36" spans="5:13" x14ac:dyDescent="0.25">
      <c r="E36" s="187"/>
      <c r="F36" s="187"/>
      <c r="M36" s="138"/>
    </row>
    <row r="37" spans="5:13" x14ac:dyDescent="0.25">
      <c r="M37" s="138"/>
    </row>
    <row r="38" spans="5:13" x14ac:dyDescent="0.25">
      <c r="M38" s="138"/>
    </row>
    <row r="39" spans="5:13" x14ac:dyDescent="0.25">
      <c r="M39" s="138"/>
    </row>
    <row r="40" spans="5:13" x14ac:dyDescent="0.25">
      <c r="M40" s="138"/>
    </row>
    <row r="41" spans="5:13" x14ac:dyDescent="0.25">
      <c r="M41" s="138"/>
    </row>
    <row r="42" spans="5:13" x14ac:dyDescent="0.25">
      <c r="M42" s="138"/>
    </row>
    <row r="43" spans="5:13" x14ac:dyDescent="0.25">
      <c r="M43" s="138"/>
    </row>
    <row r="44" spans="5:13" x14ac:dyDescent="0.25">
      <c r="M44" s="138"/>
    </row>
    <row r="45" spans="5:13" x14ac:dyDescent="0.25">
      <c r="M45" s="138"/>
    </row>
    <row r="46" spans="5:13" x14ac:dyDescent="0.25">
      <c r="M46" s="138"/>
    </row>
    <row r="47" spans="5:13" x14ac:dyDescent="0.25">
      <c r="M47" s="138"/>
    </row>
    <row r="48" spans="5:13" x14ac:dyDescent="0.25">
      <c r="M48" s="138"/>
    </row>
    <row r="49" spans="13:13" x14ac:dyDescent="0.25">
      <c r="M49" s="138"/>
    </row>
    <row r="50" spans="13:13" x14ac:dyDescent="0.25">
      <c r="M50" s="138"/>
    </row>
    <row r="51" spans="13:13" x14ac:dyDescent="0.25">
      <c r="M51" s="138"/>
    </row>
    <row r="52" spans="13:13" x14ac:dyDescent="0.25">
      <c r="M52" s="138"/>
    </row>
    <row r="53" spans="13:13" x14ac:dyDescent="0.25">
      <c r="M53" s="138"/>
    </row>
    <row r="54" spans="13:13" x14ac:dyDescent="0.25">
      <c r="M54" s="138"/>
    </row>
    <row r="55" spans="13:13" x14ac:dyDescent="0.25">
      <c r="M55" s="138"/>
    </row>
    <row r="56" spans="13:13" x14ac:dyDescent="0.25">
      <c r="M56" s="138"/>
    </row>
    <row r="57" spans="13:13" x14ac:dyDescent="0.25">
      <c r="M57" s="138"/>
    </row>
    <row r="58" spans="13:13" x14ac:dyDescent="0.25">
      <c r="M58" s="138"/>
    </row>
    <row r="59" spans="13:13" x14ac:dyDescent="0.25">
      <c r="M59" s="138"/>
    </row>
    <row r="60" spans="13:13" x14ac:dyDescent="0.25">
      <c r="M60" s="138"/>
    </row>
    <row r="61" spans="13:13" x14ac:dyDescent="0.25">
      <c r="M61" s="138"/>
    </row>
    <row r="62" spans="13:13" x14ac:dyDescent="0.25">
      <c r="M62" s="138"/>
    </row>
    <row r="63" spans="13:13" x14ac:dyDescent="0.25">
      <c r="M63" s="138"/>
    </row>
    <row r="64" spans="13:13" x14ac:dyDescent="0.25">
      <c r="M64" s="138"/>
    </row>
    <row r="65" spans="4:13" x14ac:dyDescent="0.25">
      <c r="M65" s="138"/>
    </row>
    <row r="66" spans="4:13" x14ac:dyDescent="0.25">
      <c r="D66" s="129"/>
      <c r="M66" s="138"/>
    </row>
    <row r="67" spans="4:13" x14ac:dyDescent="0.25">
      <c r="D67" s="129"/>
      <c r="M67" s="138"/>
    </row>
    <row r="68" spans="4:13" x14ac:dyDescent="0.25">
      <c r="D68" s="129"/>
      <c r="M68" s="138"/>
    </row>
    <row r="69" spans="4:13" x14ac:dyDescent="0.25">
      <c r="M69" s="138"/>
    </row>
    <row r="70" spans="4:13" x14ac:dyDescent="0.25">
      <c r="M70" s="138"/>
    </row>
    <row r="71" spans="4:13" x14ac:dyDescent="0.25">
      <c r="M71" s="138"/>
    </row>
    <row r="72" spans="4:13" x14ac:dyDescent="0.25">
      <c r="M72" s="138"/>
    </row>
    <row r="73" spans="4:13" x14ac:dyDescent="0.25">
      <c r="M73" s="138"/>
    </row>
    <row r="74" spans="4:13" x14ac:dyDescent="0.25">
      <c r="M74" s="138"/>
    </row>
    <row r="75" spans="4:13" x14ac:dyDescent="0.25">
      <c r="M75" s="138"/>
    </row>
    <row r="76" spans="4:13" x14ac:dyDescent="0.25">
      <c r="M76" s="138"/>
    </row>
    <row r="77" spans="4:13" x14ac:dyDescent="0.25">
      <c r="M77" s="138"/>
    </row>
    <row r="78" spans="4:13" x14ac:dyDescent="0.25">
      <c r="M78" s="138"/>
    </row>
    <row r="79" spans="4:13" x14ac:dyDescent="0.25">
      <c r="M79" s="138"/>
    </row>
    <row r="80" spans="4:13" x14ac:dyDescent="0.25">
      <c r="M80" s="138"/>
    </row>
    <row r="81" spans="13:13" x14ac:dyDescent="0.25">
      <c r="M81" s="138"/>
    </row>
    <row r="82" spans="13:13" x14ac:dyDescent="0.25">
      <c r="M82" s="138"/>
    </row>
    <row r="83" spans="13:13" x14ac:dyDescent="0.25">
      <c r="M83" s="138"/>
    </row>
    <row r="84" spans="13:13" x14ac:dyDescent="0.25">
      <c r="M84" s="138"/>
    </row>
    <row r="85" spans="13:13" x14ac:dyDescent="0.25">
      <c r="M85" s="138"/>
    </row>
    <row r="86" spans="13:13" x14ac:dyDescent="0.25">
      <c r="M86" s="138"/>
    </row>
    <row r="87" spans="13:13" x14ac:dyDescent="0.25">
      <c r="M87" s="138"/>
    </row>
    <row r="88" spans="13:13" x14ac:dyDescent="0.25">
      <c r="M88" s="138"/>
    </row>
    <row r="89" spans="13:13" x14ac:dyDescent="0.25">
      <c r="M89" s="138"/>
    </row>
    <row r="90" spans="13:13" x14ac:dyDescent="0.25">
      <c r="M90" s="138"/>
    </row>
    <row r="91" spans="13:13" x14ac:dyDescent="0.25">
      <c r="M91" s="138"/>
    </row>
    <row r="92" spans="13:13" x14ac:dyDescent="0.25">
      <c r="M92" s="138"/>
    </row>
    <row r="93" spans="13:13" x14ac:dyDescent="0.25">
      <c r="M93" s="138"/>
    </row>
    <row r="94" spans="13:13" x14ac:dyDescent="0.25">
      <c r="M94" s="138"/>
    </row>
    <row r="95" spans="13:13" x14ac:dyDescent="0.25">
      <c r="M95" s="138"/>
    </row>
    <row r="96" spans="13:13" x14ac:dyDescent="0.25">
      <c r="M96" s="138"/>
    </row>
    <row r="97" spans="13:13" x14ac:dyDescent="0.25">
      <c r="M97" s="138"/>
    </row>
    <row r="98" spans="13:13" x14ac:dyDescent="0.25">
      <c r="M98" s="138"/>
    </row>
    <row r="99" spans="13:13" x14ac:dyDescent="0.25">
      <c r="M99" s="138"/>
    </row>
    <row r="100" spans="13:13" x14ac:dyDescent="0.25">
      <c r="M100" s="138"/>
    </row>
    <row r="101" spans="13:13" x14ac:dyDescent="0.25">
      <c r="M101" s="138"/>
    </row>
    <row r="102" spans="13:13" x14ac:dyDescent="0.25">
      <c r="M102" s="138"/>
    </row>
    <row r="103" spans="13:13" x14ac:dyDescent="0.25">
      <c r="M103" s="138"/>
    </row>
    <row r="104" spans="13:13" x14ac:dyDescent="0.25">
      <c r="M104" s="138"/>
    </row>
    <row r="105" spans="13:13" x14ac:dyDescent="0.25">
      <c r="M105" s="138"/>
    </row>
    <row r="106" spans="13:13" x14ac:dyDescent="0.25">
      <c r="M106" s="138"/>
    </row>
    <row r="107" spans="13:13" x14ac:dyDescent="0.25">
      <c r="M107" s="138"/>
    </row>
    <row r="108" spans="13:13" x14ac:dyDescent="0.25">
      <c r="M108" s="138"/>
    </row>
    <row r="109" spans="13:13" x14ac:dyDescent="0.25">
      <c r="M109" s="138"/>
    </row>
    <row r="110" spans="13:13" x14ac:dyDescent="0.25">
      <c r="M110" s="138"/>
    </row>
    <row r="111" spans="13:13" x14ac:dyDescent="0.25">
      <c r="M111" s="138"/>
    </row>
    <row r="112" spans="13:13" x14ac:dyDescent="0.25">
      <c r="M112" s="138"/>
    </row>
    <row r="113" spans="13:13" x14ac:dyDescent="0.25">
      <c r="M113" s="138"/>
    </row>
    <row r="114" spans="13:13" x14ac:dyDescent="0.25">
      <c r="M114" s="138"/>
    </row>
    <row r="115" spans="13:13" x14ac:dyDescent="0.25">
      <c r="M115" s="138"/>
    </row>
    <row r="116" spans="13:13" x14ac:dyDescent="0.25">
      <c r="M116" s="138"/>
    </row>
    <row r="117" spans="13:13" x14ac:dyDescent="0.25">
      <c r="M117" s="138"/>
    </row>
    <row r="118" spans="13:13" x14ac:dyDescent="0.25">
      <c r="M118" s="138"/>
    </row>
    <row r="119" spans="13:13" x14ac:dyDescent="0.25">
      <c r="M119" s="138"/>
    </row>
    <row r="120" spans="13:13" x14ac:dyDescent="0.25">
      <c r="M120" s="138"/>
    </row>
    <row r="121" spans="13:13" x14ac:dyDescent="0.25">
      <c r="M121" s="138"/>
    </row>
    <row r="122" spans="13:13" x14ac:dyDescent="0.25">
      <c r="M122" s="138"/>
    </row>
    <row r="123" spans="13:13" x14ac:dyDescent="0.25">
      <c r="M123" s="138"/>
    </row>
    <row r="124" spans="13:13" x14ac:dyDescent="0.25">
      <c r="M124" s="138"/>
    </row>
    <row r="125" spans="13:13" x14ac:dyDescent="0.25">
      <c r="M125" s="138"/>
    </row>
    <row r="126" spans="13:13" x14ac:dyDescent="0.25">
      <c r="M126" s="138"/>
    </row>
    <row r="127" spans="13:13" x14ac:dyDescent="0.25">
      <c r="M127" s="138"/>
    </row>
    <row r="128" spans="13:13" x14ac:dyDescent="0.25">
      <c r="M128" s="138"/>
    </row>
    <row r="129" spans="13:13" x14ac:dyDescent="0.25">
      <c r="M129" s="138"/>
    </row>
    <row r="130" spans="13:13" x14ac:dyDescent="0.25">
      <c r="M130" s="138"/>
    </row>
    <row r="131" spans="13:13" x14ac:dyDescent="0.25">
      <c r="M131" s="138"/>
    </row>
    <row r="132" spans="13:13" x14ac:dyDescent="0.25">
      <c r="M132" s="138"/>
    </row>
    <row r="133" spans="13:13" x14ac:dyDescent="0.25">
      <c r="M133" s="138"/>
    </row>
    <row r="134" spans="13:13" x14ac:dyDescent="0.25">
      <c r="M134" s="138"/>
    </row>
    <row r="135" spans="13:13" x14ac:dyDescent="0.25">
      <c r="M135" s="138"/>
    </row>
    <row r="136" spans="13:13" x14ac:dyDescent="0.25">
      <c r="M136" s="138"/>
    </row>
    <row r="137" spans="13:13" x14ac:dyDescent="0.25">
      <c r="M137" s="138"/>
    </row>
    <row r="138" spans="13:13" x14ac:dyDescent="0.25">
      <c r="M138" s="138"/>
    </row>
    <row r="139" spans="13:13" x14ac:dyDescent="0.25">
      <c r="M139" s="138"/>
    </row>
    <row r="140" spans="13:13" x14ac:dyDescent="0.25">
      <c r="M140" s="138"/>
    </row>
    <row r="141" spans="13:13" x14ac:dyDescent="0.25">
      <c r="M141" s="138"/>
    </row>
    <row r="142" spans="13:13" x14ac:dyDescent="0.25">
      <c r="M142" s="138"/>
    </row>
    <row r="143" spans="13:13" x14ac:dyDescent="0.25">
      <c r="M143" s="138"/>
    </row>
    <row r="144" spans="13:13" x14ac:dyDescent="0.25">
      <c r="M144" s="138"/>
    </row>
    <row r="145" spans="13:13" x14ac:dyDescent="0.25">
      <c r="M145" s="138"/>
    </row>
    <row r="146" spans="13:13" x14ac:dyDescent="0.25">
      <c r="M146" s="138"/>
    </row>
    <row r="147" spans="13:13" x14ac:dyDescent="0.25">
      <c r="M147" s="138"/>
    </row>
    <row r="148" spans="13:13" x14ac:dyDescent="0.25">
      <c r="M148" s="138"/>
    </row>
    <row r="149" spans="13:13" x14ac:dyDescent="0.25">
      <c r="M149" s="138"/>
    </row>
    <row r="150" spans="13:13" x14ac:dyDescent="0.25">
      <c r="M150" s="138"/>
    </row>
    <row r="151" spans="13:13" x14ac:dyDescent="0.25">
      <c r="M151" s="138"/>
    </row>
    <row r="152" spans="13:13" x14ac:dyDescent="0.25">
      <c r="M152" s="138"/>
    </row>
    <row r="153" spans="13:13" x14ac:dyDescent="0.25">
      <c r="M153" s="138"/>
    </row>
    <row r="154" spans="13:13" x14ac:dyDescent="0.25">
      <c r="M154" s="138"/>
    </row>
    <row r="155" spans="13:13" x14ac:dyDescent="0.25">
      <c r="M155" s="138"/>
    </row>
    <row r="156" spans="13:13" x14ac:dyDescent="0.25">
      <c r="M156" s="138"/>
    </row>
    <row r="157" spans="13:13" x14ac:dyDescent="0.25">
      <c r="M157" s="138"/>
    </row>
    <row r="158" spans="13:13" x14ac:dyDescent="0.25">
      <c r="M158" s="138"/>
    </row>
    <row r="159" spans="13:13" x14ac:dyDescent="0.25">
      <c r="M159" s="138"/>
    </row>
    <row r="160" spans="13:13" x14ac:dyDescent="0.25">
      <c r="M160" s="138"/>
    </row>
    <row r="161" spans="13:13" x14ac:dyDescent="0.25">
      <c r="M161" s="138"/>
    </row>
    <row r="162" spans="13:13" x14ac:dyDescent="0.25">
      <c r="M162" s="138"/>
    </row>
    <row r="163" spans="13:13" x14ac:dyDescent="0.25">
      <c r="M163" s="138"/>
    </row>
    <row r="164" spans="13:13" x14ac:dyDescent="0.25">
      <c r="M164" s="138"/>
    </row>
    <row r="165" spans="13:13" x14ac:dyDescent="0.25">
      <c r="M165" s="138"/>
    </row>
    <row r="166" spans="13:13" x14ac:dyDescent="0.25">
      <c r="M166" s="138"/>
    </row>
    <row r="167" spans="13:13" x14ac:dyDescent="0.25">
      <c r="M167" s="138"/>
    </row>
    <row r="168" spans="13:13" x14ac:dyDescent="0.25">
      <c r="M168" s="138"/>
    </row>
    <row r="169" spans="13:13" x14ac:dyDescent="0.25">
      <c r="M169" s="138"/>
    </row>
    <row r="170" spans="13:13" x14ac:dyDescent="0.25">
      <c r="M170" s="138"/>
    </row>
    <row r="171" spans="13:13" x14ac:dyDescent="0.25">
      <c r="M171" s="138"/>
    </row>
    <row r="172" spans="13:13" x14ac:dyDescent="0.25">
      <c r="M172" s="138"/>
    </row>
    <row r="173" spans="13:13" x14ac:dyDescent="0.25">
      <c r="M173" s="138"/>
    </row>
    <row r="174" spans="13:13" x14ac:dyDescent="0.25">
      <c r="M174" s="138"/>
    </row>
    <row r="175" spans="13:13" x14ac:dyDescent="0.25">
      <c r="M175" s="138"/>
    </row>
    <row r="176" spans="13:13" x14ac:dyDescent="0.25">
      <c r="M176" s="138"/>
    </row>
    <row r="177" spans="13:13" x14ac:dyDescent="0.25">
      <c r="M177" s="138"/>
    </row>
    <row r="178" spans="13:13" x14ac:dyDescent="0.25">
      <c r="M178" s="138"/>
    </row>
    <row r="179" spans="13:13" x14ac:dyDescent="0.25">
      <c r="M179" s="138"/>
    </row>
    <row r="180" spans="13:13" x14ac:dyDescent="0.25">
      <c r="M180" s="138"/>
    </row>
    <row r="181" spans="13:13" x14ac:dyDescent="0.25">
      <c r="M181" s="138"/>
    </row>
    <row r="182" spans="13:13" x14ac:dyDescent="0.25">
      <c r="M182" s="138"/>
    </row>
    <row r="183" spans="13:13" x14ac:dyDescent="0.25">
      <c r="M183" s="138"/>
    </row>
    <row r="184" spans="13:13" x14ac:dyDescent="0.25">
      <c r="M184" s="138"/>
    </row>
    <row r="185" spans="13:13" x14ac:dyDescent="0.25">
      <c r="M185" s="138"/>
    </row>
    <row r="186" spans="13:13" x14ac:dyDescent="0.25">
      <c r="M186" s="138"/>
    </row>
    <row r="187" spans="13:13" x14ac:dyDescent="0.25">
      <c r="M187" s="138"/>
    </row>
    <row r="188" spans="13:13" x14ac:dyDescent="0.25">
      <c r="M188" s="138"/>
    </row>
    <row r="189" spans="13:13" x14ac:dyDescent="0.25">
      <c r="M189" s="138"/>
    </row>
    <row r="190" spans="13:13" x14ac:dyDescent="0.25">
      <c r="M190" s="138"/>
    </row>
    <row r="191" spans="13:13" x14ac:dyDescent="0.25">
      <c r="M191" s="138"/>
    </row>
    <row r="192" spans="13:13" x14ac:dyDescent="0.25">
      <c r="M192" s="138"/>
    </row>
    <row r="193" spans="13:13" x14ac:dyDescent="0.25">
      <c r="M193" s="138"/>
    </row>
    <row r="194" spans="13:13" x14ac:dyDescent="0.25">
      <c r="M194" s="138"/>
    </row>
    <row r="195" spans="13:13" x14ac:dyDescent="0.25">
      <c r="M195" s="138"/>
    </row>
    <row r="196" spans="13:13" x14ac:dyDescent="0.25">
      <c r="M196" s="138"/>
    </row>
    <row r="197" spans="13:13" x14ac:dyDescent="0.25">
      <c r="M197" s="138"/>
    </row>
    <row r="198" spans="13:13" x14ac:dyDescent="0.25">
      <c r="M198" s="138"/>
    </row>
    <row r="199" spans="13:13" x14ac:dyDescent="0.25">
      <c r="M199" s="138"/>
    </row>
    <row r="200" spans="13:13" x14ac:dyDescent="0.25">
      <c r="M200" s="138"/>
    </row>
    <row r="201" spans="13:13" x14ac:dyDescent="0.25">
      <c r="M201" s="138"/>
    </row>
    <row r="202" spans="13:13" x14ac:dyDescent="0.25">
      <c r="M202" s="138"/>
    </row>
    <row r="203" spans="13:13" x14ac:dyDescent="0.25">
      <c r="M203" s="138"/>
    </row>
    <row r="204" spans="13:13" x14ac:dyDescent="0.25">
      <c r="M204" s="138"/>
    </row>
    <row r="205" spans="13:13" x14ac:dyDescent="0.25">
      <c r="M205" s="138"/>
    </row>
    <row r="206" spans="13:13" x14ac:dyDescent="0.25">
      <c r="M206" s="138"/>
    </row>
    <row r="207" spans="13:13" x14ac:dyDescent="0.25">
      <c r="M207" s="138"/>
    </row>
    <row r="208" spans="13:13" x14ac:dyDescent="0.25">
      <c r="M208" s="138"/>
    </row>
    <row r="209" spans="13:13" x14ac:dyDescent="0.25">
      <c r="M209" s="138"/>
    </row>
    <row r="210" spans="13:13" x14ac:dyDescent="0.25">
      <c r="M210" s="138"/>
    </row>
    <row r="211" spans="13:13" x14ac:dyDescent="0.25">
      <c r="M211" s="138"/>
    </row>
    <row r="212" spans="13:13" x14ac:dyDescent="0.25">
      <c r="M212" s="138"/>
    </row>
    <row r="213" spans="13:13" x14ac:dyDescent="0.25">
      <c r="M213" s="138"/>
    </row>
    <row r="214" spans="13:13" x14ac:dyDescent="0.25">
      <c r="M214" s="138"/>
    </row>
    <row r="215" spans="13:13" x14ac:dyDescent="0.25">
      <c r="M215" s="138"/>
    </row>
    <row r="216" spans="13:13" x14ac:dyDescent="0.25">
      <c r="M216" s="138"/>
    </row>
    <row r="217" spans="13:13" x14ac:dyDescent="0.25">
      <c r="M217" s="138"/>
    </row>
    <row r="218" spans="13:13" x14ac:dyDescent="0.25">
      <c r="M218" s="138"/>
    </row>
    <row r="219" spans="13:13" x14ac:dyDescent="0.25">
      <c r="M219" s="138"/>
    </row>
    <row r="220" spans="13:13" x14ac:dyDescent="0.25">
      <c r="M220" s="138"/>
    </row>
    <row r="221" spans="13:13" x14ac:dyDescent="0.25">
      <c r="M221" s="138"/>
    </row>
    <row r="222" spans="13:13" x14ac:dyDescent="0.25">
      <c r="M222" s="138"/>
    </row>
    <row r="223" spans="13:13" x14ac:dyDescent="0.25">
      <c r="M223" s="138"/>
    </row>
    <row r="224" spans="13:13" x14ac:dyDescent="0.25">
      <c r="M224" s="138"/>
    </row>
    <row r="225" spans="13:13" x14ac:dyDescent="0.25">
      <c r="M225" s="138"/>
    </row>
    <row r="226" spans="13:13" x14ac:dyDescent="0.25">
      <c r="M226" s="138"/>
    </row>
    <row r="227" spans="13:13" x14ac:dyDescent="0.25">
      <c r="M227" s="138"/>
    </row>
    <row r="228" spans="13:13" x14ac:dyDescent="0.25">
      <c r="M228" s="138"/>
    </row>
    <row r="229" spans="13:13" x14ac:dyDescent="0.25">
      <c r="M229" s="138"/>
    </row>
    <row r="230" spans="13:13" x14ac:dyDescent="0.25">
      <c r="M230" s="138"/>
    </row>
    <row r="231" spans="13:13" x14ac:dyDescent="0.25">
      <c r="M231" s="138"/>
    </row>
    <row r="232" spans="13:13" x14ac:dyDescent="0.25">
      <c r="M232" s="138"/>
    </row>
    <row r="233" spans="13:13" x14ac:dyDescent="0.25">
      <c r="M233" s="138"/>
    </row>
    <row r="234" spans="13:13" x14ac:dyDescent="0.25">
      <c r="M234" s="138"/>
    </row>
    <row r="235" spans="13:13" x14ac:dyDescent="0.25">
      <c r="M235" s="138"/>
    </row>
    <row r="236" spans="13:13" x14ac:dyDescent="0.25">
      <c r="M236" s="138"/>
    </row>
    <row r="237" spans="13:13" x14ac:dyDescent="0.25">
      <c r="M237" s="138"/>
    </row>
    <row r="238" spans="13:13" x14ac:dyDescent="0.25">
      <c r="M238" s="138"/>
    </row>
    <row r="239" spans="13:13" x14ac:dyDescent="0.25">
      <c r="M239" s="138"/>
    </row>
    <row r="240" spans="13:13" x14ac:dyDescent="0.25">
      <c r="M240" s="138"/>
    </row>
    <row r="241" spans="13:13" x14ac:dyDescent="0.25">
      <c r="M241" s="138"/>
    </row>
    <row r="242" spans="13:13" x14ac:dyDescent="0.25">
      <c r="M242" s="138"/>
    </row>
    <row r="243" spans="13:13" x14ac:dyDescent="0.25">
      <c r="M243" s="138"/>
    </row>
    <row r="244" spans="13:13" x14ac:dyDescent="0.25">
      <c r="M244" s="138"/>
    </row>
    <row r="245" spans="13:13" x14ac:dyDescent="0.25">
      <c r="M245" s="138"/>
    </row>
    <row r="246" spans="13:13" x14ac:dyDescent="0.25">
      <c r="M246" s="138"/>
    </row>
    <row r="247" spans="13:13" x14ac:dyDescent="0.25">
      <c r="M247" s="138"/>
    </row>
    <row r="248" spans="13:13" x14ac:dyDescent="0.25">
      <c r="M248" s="138"/>
    </row>
    <row r="249" spans="13:13" x14ac:dyDescent="0.25">
      <c r="M249" s="138"/>
    </row>
    <row r="250" spans="13:13" x14ac:dyDescent="0.25">
      <c r="M250" s="138"/>
    </row>
    <row r="251" spans="13:13" x14ac:dyDescent="0.25">
      <c r="M251" s="138"/>
    </row>
    <row r="252" spans="13:13" x14ac:dyDescent="0.25">
      <c r="M252" s="138"/>
    </row>
    <row r="253" spans="13:13" x14ac:dyDescent="0.25">
      <c r="M253" s="138"/>
    </row>
    <row r="254" spans="13:13" x14ac:dyDescent="0.25">
      <c r="M254" s="138"/>
    </row>
    <row r="255" spans="13:13" x14ac:dyDescent="0.25">
      <c r="M255" s="138"/>
    </row>
    <row r="256" spans="13:13" x14ac:dyDescent="0.25">
      <c r="M256" s="138"/>
    </row>
    <row r="257" spans="13:13" x14ac:dyDescent="0.25">
      <c r="M257" s="138"/>
    </row>
    <row r="258" spans="13:13" x14ac:dyDescent="0.25">
      <c r="M258" s="138"/>
    </row>
    <row r="259" spans="13:13" x14ac:dyDescent="0.25">
      <c r="M259" s="138"/>
    </row>
    <row r="260" spans="13:13" x14ac:dyDescent="0.25">
      <c r="M260" s="138"/>
    </row>
    <row r="261" spans="13:13" x14ac:dyDescent="0.25">
      <c r="M261" s="138"/>
    </row>
    <row r="262" spans="13:13" x14ac:dyDescent="0.25">
      <c r="M262" s="138"/>
    </row>
    <row r="263" spans="13:13" x14ac:dyDescent="0.25">
      <c r="M263" s="138"/>
    </row>
    <row r="264" spans="13:13" x14ac:dyDescent="0.25">
      <c r="M264" s="138"/>
    </row>
    <row r="265" spans="13:13" x14ac:dyDescent="0.25">
      <c r="M265" s="138"/>
    </row>
    <row r="266" spans="13:13" x14ac:dyDescent="0.25">
      <c r="M266" s="138"/>
    </row>
    <row r="267" spans="13:13" x14ac:dyDescent="0.25">
      <c r="M267" s="138"/>
    </row>
    <row r="268" spans="13:13" x14ac:dyDescent="0.25">
      <c r="M268" s="138"/>
    </row>
    <row r="269" spans="13:13" x14ac:dyDescent="0.25">
      <c r="M269" s="138"/>
    </row>
    <row r="270" spans="13:13" x14ac:dyDescent="0.25">
      <c r="M270" s="138"/>
    </row>
    <row r="271" spans="13:13" x14ac:dyDescent="0.25">
      <c r="M271" s="138"/>
    </row>
    <row r="272" spans="13:13" x14ac:dyDescent="0.25">
      <c r="M272" s="138"/>
    </row>
    <row r="273" spans="13:13" x14ac:dyDescent="0.25">
      <c r="M273" s="138"/>
    </row>
    <row r="274" spans="13:13" x14ac:dyDescent="0.25">
      <c r="M274" s="138"/>
    </row>
    <row r="275" spans="13:13" x14ac:dyDescent="0.25">
      <c r="M275" s="138"/>
    </row>
    <row r="276" spans="13:13" x14ac:dyDescent="0.25">
      <c r="M276" s="138"/>
    </row>
    <row r="277" spans="13:13" x14ac:dyDescent="0.25">
      <c r="M277" s="138"/>
    </row>
  </sheetData>
  <mergeCells count="6">
    <mergeCell ref="Q4:W4"/>
    <mergeCell ref="X4:AB4"/>
    <mergeCell ref="A6:B6"/>
    <mergeCell ref="C6:G6"/>
    <mergeCell ref="H6:L6"/>
    <mergeCell ref="M6:P6"/>
  </mergeCells>
  <phoneticPr fontId="3" type="noConversion"/>
  <pageMargins left="0.25" right="0.25" top="0.75" bottom="0.75" header="0.3" footer="0.3"/>
  <pageSetup scale="6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59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8" sqref="A8"/>
    </sheetView>
  </sheetViews>
  <sheetFormatPr defaultColWidth="9.140625" defaultRowHeight="12.75" x14ac:dyDescent="0.2"/>
  <cols>
    <col min="1" max="1" width="37" style="6" customWidth="1"/>
    <col min="2" max="2" width="18.5703125" style="168" bestFit="1" customWidth="1"/>
    <col min="3" max="3" width="17.140625" style="178" bestFit="1" customWidth="1"/>
    <col min="4" max="4" width="15.28515625" style="168" customWidth="1"/>
    <col min="5" max="5" width="18.5703125" style="168" bestFit="1" customWidth="1"/>
    <col min="6" max="6" width="11.5703125" style="17" bestFit="1" customWidth="1"/>
    <col min="7" max="7" width="10.140625" style="6" customWidth="1"/>
    <col min="8" max="8" width="11.85546875" style="6" customWidth="1"/>
    <col min="9" max="9" width="19.140625" style="6" bestFit="1" customWidth="1"/>
    <col min="10" max="10" width="9.140625" style="18"/>
    <col min="11" max="12" width="9.140625" style="6"/>
    <col min="13" max="13" width="16.42578125" style="6" bestFit="1" customWidth="1"/>
    <col min="14" max="16384" width="9.140625" style="6"/>
  </cols>
  <sheetData>
    <row r="1" spans="1:9" x14ac:dyDescent="0.2">
      <c r="A1" s="7"/>
    </row>
    <row r="2" spans="1:9" x14ac:dyDescent="0.2">
      <c r="A2" s="7" t="s">
        <v>176</v>
      </c>
    </row>
    <row r="3" spans="1:9" x14ac:dyDescent="0.2">
      <c r="A3" s="7" t="s">
        <v>45</v>
      </c>
    </row>
    <row r="4" spans="1:9" x14ac:dyDescent="0.2">
      <c r="A4" s="7" t="s">
        <v>17</v>
      </c>
      <c r="F4" s="19"/>
    </row>
    <row r="5" spans="1:9" x14ac:dyDescent="0.2">
      <c r="A5" s="7" t="s">
        <v>0</v>
      </c>
      <c r="B5" s="178"/>
    </row>
    <row r="6" spans="1:9" x14ac:dyDescent="0.2">
      <c r="A6" s="83" t="s">
        <v>382</v>
      </c>
    </row>
    <row r="7" spans="1:9" x14ac:dyDescent="0.2">
      <c r="B7" s="185" t="s">
        <v>272</v>
      </c>
      <c r="F7" s="37" t="s">
        <v>38</v>
      </c>
      <c r="G7" s="51" t="s">
        <v>42</v>
      </c>
      <c r="H7" s="7"/>
      <c r="I7" s="7"/>
    </row>
    <row r="8" spans="1:9" x14ac:dyDescent="0.2">
      <c r="A8" s="7" t="s">
        <v>18</v>
      </c>
      <c r="B8" s="186" t="s">
        <v>3</v>
      </c>
      <c r="C8" s="189" t="s">
        <v>376</v>
      </c>
      <c r="D8" s="186" t="s">
        <v>16</v>
      </c>
      <c r="E8" s="186" t="s">
        <v>15</v>
      </c>
      <c r="F8" s="20" t="s">
        <v>15</v>
      </c>
      <c r="G8" s="21" t="s">
        <v>15</v>
      </c>
      <c r="H8" s="21" t="s">
        <v>50</v>
      </c>
      <c r="I8" s="21"/>
    </row>
    <row r="9" spans="1:9" x14ac:dyDescent="0.2">
      <c r="A9" s="6" t="s">
        <v>19</v>
      </c>
      <c r="B9" s="168">
        <v>34457439</v>
      </c>
      <c r="C9" s="178">
        <v>13041197.119999999</v>
      </c>
      <c r="D9" s="168">
        <v>41486553.95000001</v>
      </c>
      <c r="E9" s="168">
        <f>+B9-D9</f>
        <v>-7029114.9500000104</v>
      </c>
      <c r="F9" s="5">
        <f>+E9/B9</f>
        <v>-0.20399412010857831</v>
      </c>
      <c r="G9" s="5">
        <f>F9/1</f>
        <v>-0.20399412010857831</v>
      </c>
      <c r="H9" s="5">
        <f>+G9-F9</f>
        <v>0</v>
      </c>
    </row>
    <row r="10" spans="1:9" x14ac:dyDescent="0.2">
      <c r="A10" s="6" t="s">
        <v>20</v>
      </c>
      <c r="B10" s="168">
        <v>13554136</v>
      </c>
      <c r="C10" s="178">
        <v>3847344.13</v>
      </c>
      <c r="D10" s="168">
        <v>16405001.17</v>
      </c>
      <c r="E10" s="168">
        <f t="shared" ref="E10:E16" si="0">+B10-D10</f>
        <v>-2850865.17</v>
      </c>
      <c r="F10" s="5">
        <f t="shared" ref="F10:F16" si="1">+E10/B10</f>
        <v>-0.21033175187263872</v>
      </c>
      <c r="G10" s="5">
        <f t="shared" ref="G10:G21" si="2">F10/1</f>
        <v>-0.21033175187263872</v>
      </c>
      <c r="H10" s="5">
        <f t="shared" ref="H10:H16" si="3">+G10-F10</f>
        <v>0</v>
      </c>
    </row>
    <row r="11" spans="1:9" x14ac:dyDescent="0.2">
      <c r="A11" s="6" t="s">
        <v>21</v>
      </c>
      <c r="B11" s="180">
        <v>364890</v>
      </c>
      <c r="C11" s="183">
        <v>236185.65000000002</v>
      </c>
      <c r="D11" s="180">
        <v>825898.44</v>
      </c>
      <c r="E11" s="168">
        <f t="shared" si="0"/>
        <v>-461008.43999999994</v>
      </c>
      <c r="F11" s="5">
        <f t="shared" si="1"/>
        <v>-1.263417577900189</v>
      </c>
      <c r="G11" s="5">
        <f t="shared" si="2"/>
        <v>-1.263417577900189</v>
      </c>
      <c r="H11" s="5">
        <f t="shared" si="3"/>
        <v>0</v>
      </c>
    </row>
    <row r="12" spans="1:9" x14ac:dyDescent="0.2">
      <c r="A12" s="6" t="s">
        <v>22</v>
      </c>
      <c r="B12" s="180">
        <v>687079</v>
      </c>
      <c r="C12" s="183">
        <v>103553.73000000001</v>
      </c>
      <c r="D12" s="180">
        <v>369601.10999999993</v>
      </c>
      <c r="E12" s="178">
        <f t="shared" si="0"/>
        <v>317477.89000000007</v>
      </c>
      <c r="F12" s="5">
        <f t="shared" si="1"/>
        <v>0.46206897605661079</v>
      </c>
      <c r="G12" s="5">
        <f t="shared" si="2"/>
        <v>0.46206897605661079</v>
      </c>
      <c r="H12" s="5">
        <f t="shared" si="3"/>
        <v>0</v>
      </c>
    </row>
    <row r="13" spans="1:9" x14ac:dyDescent="0.2">
      <c r="A13" s="6" t="s">
        <v>47</v>
      </c>
      <c r="B13" s="180">
        <v>97500</v>
      </c>
      <c r="C13" s="183">
        <v>12706.740000000005</v>
      </c>
      <c r="D13" s="180">
        <v>75958.8</v>
      </c>
      <c r="E13" s="178">
        <f t="shared" si="0"/>
        <v>21541.199999999997</v>
      </c>
      <c r="F13" s="5">
        <f t="shared" si="1"/>
        <v>0.22093538461538459</v>
      </c>
      <c r="G13" s="5">
        <f t="shared" si="2"/>
        <v>0.22093538461538459</v>
      </c>
      <c r="H13" s="5">
        <f t="shared" si="3"/>
        <v>0</v>
      </c>
    </row>
    <row r="14" spans="1:9" x14ac:dyDescent="0.2">
      <c r="A14" s="6" t="s">
        <v>23</v>
      </c>
      <c r="B14" s="180">
        <v>3021664</v>
      </c>
      <c r="C14" s="183">
        <v>848292.0899999995</v>
      </c>
      <c r="D14" s="180">
        <v>3393004.3700000006</v>
      </c>
      <c r="E14" s="168">
        <f t="shared" si="0"/>
        <v>-371340.37000000058</v>
      </c>
      <c r="F14" s="5">
        <f t="shared" si="1"/>
        <v>-0.12289267436750101</v>
      </c>
      <c r="G14" s="5">
        <f t="shared" si="2"/>
        <v>-0.12289267436750101</v>
      </c>
      <c r="H14" s="5">
        <f t="shared" si="3"/>
        <v>0</v>
      </c>
    </row>
    <row r="15" spans="1:9" x14ac:dyDescent="0.2">
      <c r="A15" s="6" t="s">
        <v>24</v>
      </c>
      <c r="B15" s="180">
        <v>970880</v>
      </c>
      <c r="C15" s="183">
        <v>151565.42000000001</v>
      </c>
      <c r="D15" s="180">
        <v>248708.71000000002</v>
      </c>
      <c r="E15" s="168">
        <f t="shared" si="0"/>
        <v>722171.29</v>
      </c>
      <c r="F15" s="5">
        <f t="shared" si="1"/>
        <v>0.74383166817732371</v>
      </c>
      <c r="G15" s="5">
        <f t="shared" si="2"/>
        <v>0.74383166817732371</v>
      </c>
      <c r="H15" s="5">
        <f t="shared" si="3"/>
        <v>0</v>
      </c>
    </row>
    <row r="16" spans="1:9" x14ac:dyDescent="0.2">
      <c r="A16" s="6" t="s">
        <v>25</v>
      </c>
      <c r="B16" s="180">
        <v>30500</v>
      </c>
      <c r="C16" s="183">
        <v>9309.7800000000025</v>
      </c>
      <c r="D16" s="180">
        <v>73442.97</v>
      </c>
      <c r="E16" s="168">
        <f t="shared" si="0"/>
        <v>-42942.97</v>
      </c>
      <c r="F16" s="5">
        <f t="shared" si="1"/>
        <v>-1.4079662295081967</v>
      </c>
      <c r="G16" s="5">
        <f t="shared" si="2"/>
        <v>-1.4079662295081967</v>
      </c>
      <c r="H16" s="5">
        <f t="shared" si="3"/>
        <v>0</v>
      </c>
    </row>
    <row r="17" spans="1:13" x14ac:dyDescent="0.2">
      <c r="A17" s="6" t="s">
        <v>273</v>
      </c>
      <c r="B17" s="180">
        <v>200000</v>
      </c>
      <c r="C17" s="183">
        <v>0</v>
      </c>
      <c r="D17" s="180">
        <v>129408.5</v>
      </c>
      <c r="E17" s="178">
        <f>+B17-D17</f>
        <v>70591.5</v>
      </c>
      <c r="F17" s="5">
        <f t="shared" ref="F17:F22" si="4">+E17/B17</f>
        <v>0.35295749999999998</v>
      </c>
      <c r="G17" s="5">
        <f t="shared" si="2"/>
        <v>0.35295749999999998</v>
      </c>
      <c r="H17" s="5">
        <f t="shared" ref="H17:H22" si="5">+G17-F17</f>
        <v>0</v>
      </c>
    </row>
    <row r="18" spans="1:13" hidden="1" x14ac:dyDescent="0.2">
      <c r="A18" s="6" t="s">
        <v>177</v>
      </c>
      <c r="B18" s="180"/>
      <c r="C18" s="183"/>
      <c r="D18" s="180"/>
      <c r="E18" s="178">
        <f>+B18-D18</f>
        <v>0</v>
      </c>
      <c r="F18" s="5" t="e">
        <f t="shared" si="4"/>
        <v>#DIV/0!</v>
      </c>
      <c r="G18" s="5" t="e">
        <f t="shared" si="2"/>
        <v>#DIV/0!</v>
      </c>
      <c r="H18" s="5" t="e">
        <f t="shared" si="5"/>
        <v>#DIV/0!</v>
      </c>
    </row>
    <row r="19" spans="1:13" hidden="1" x14ac:dyDescent="0.2">
      <c r="A19" s="6" t="s">
        <v>178</v>
      </c>
      <c r="B19" s="180"/>
      <c r="C19" s="183"/>
      <c r="D19" s="180"/>
      <c r="E19" s="178">
        <f>+B19-D19</f>
        <v>0</v>
      </c>
      <c r="F19" s="5" t="e">
        <f t="shared" si="4"/>
        <v>#DIV/0!</v>
      </c>
      <c r="G19" s="5" t="e">
        <f t="shared" si="2"/>
        <v>#DIV/0!</v>
      </c>
      <c r="H19" s="5" t="e">
        <f t="shared" si="5"/>
        <v>#DIV/0!</v>
      </c>
    </row>
    <row r="20" spans="1:13" x14ac:dyDescent="0.2">
      <c r="A20" s="6" t="s">
        <v>26</v>
      </c>
      <c r="B20" s="180">
        <v>16336591</v>
      </c>
      <c r="C20" s="183">
        <v>3364041.88</v>
      </c>
      <c r="D20" s="180">
        <v>14790592.5</v>
      </c>
      <c r="E20" s="178">
        <f>+B20-D20</f>
        <v>1545998.5</v>
      </c>
      <c r="F20" s="5">
        <f t="shared" si="4"/>
        <v>9.4634094714129771E-2</v>
      </c>
      <c r="G20" s="5">
        <f t="shared" si="2"/>
        <v>9.4634094714129771E-2</v>
      </c>
      <c r="H20" s="5">
        <f t="shared" si="5"/>
        <v>0</v>
      </c>
      <c r="M20" s="133"/>
    </row>
    <row r="21" spans="1:13" x14ac:dyDescent="0.2">
      <c r="A21" s="6" t="s">
        <v>27</v>
      </c>
      <c r="B21" s="180">
        <v>5003944</v>
      </c>
      <c r="C21" s="183">
        <v>782574.92</v>
      </c>
      <c r="D21" s="180">
        <v>3639712.94</v>
      </c>
      <c r="E21" s="178">
        <f>+B21-D21</f>
        <v>1364231.06</v>
      </c>
      <c r="F21" s="5">
        <f t="shared" si="4"/>
        <v>0.27263116054056563</v>
      </c>
      <c r="G21" s="5">
        <f t="shared" si="2"/>
        <v>0.27263116054056563</v>
      </c>
      <c r="H21" s="5">
        <f t="shared" si="5"/>
        <v>0</v>
      </c>
    </row>
    <row r="22" spans="1:13" s="7" customFormat="1" x14ac:dyDescent="0.2">
      <c r="A22" s="7" t="s">
        <v>28</v>
      </c>
      <c r="B22" s="170">
        <f>SUM(B9:B21)</f>
        <v>74724623</v>
      </c>
      <c r="C22" s="169">
        <f>SUM(C9:C21)</f>
        <v>22396771.460000001</v>
      </c>
      <c r="D22" s="170">
        <f>SUM(D9:D21)</f>
        <v>81437883.460000008</v>
      </c>
      <c r="E22" s="170">
        <f>SUM(E9:E21)</f>
        <v>-6713260.4600000121</v>
      </c>
      <c r="F22" s="14">
        <f t="shared" si="4"/>
        <v>-8.9840004411932753E-2</v>
      </c>
      <c r="G22" s="14">
        <f>F22/1</f>
        <v>-8.9840004411932753E-2</v>
      </c>
      <c r="H22" s="14">
        <f t="shared" si="5"/>
        <v>0</v>
      </c>
      <c r="J22" s="22"/>
    </row>
    <row r="23" spans="1:13" x14ac:dyDescent="0.2">
      <c r="A23" s="7"/>
      <c r="F23" s="5"/>
      <c r="G23" s="5"/>
      <c r="H23" s="5"/>
    </row>
    <row r="24" spans="1:13" x14ac:dyDescent="0.2">
      <c r="A24" s="7" t="s">
        <v>35</v>
      </c>
      <c r="F24" s="5"/>
      <c r="G24" s="5"/>
      <c r="H24" s="5"/>
    </row>
    <row r="25" spans="1:13" x14ac:dyDescent="0.2">
      <c r="A25" s="6" t="s">
        <v>52</v>
      </c>
      <c r="B25" s="168">
        <v>0</v>
      </c>
      <c r="C25" s="178">
        <v>0</v>
      </c>
      <c r="D25" s="168">
        <v>0</v>
      </c>
      <c r="E25" s="168">
        <f>+B25-D25</f>
        <v>0</v>
      </c>
      <c r="F25" s="5">
        <v>0</v>
      </c>
      <c r="G25" s="5">
        <f t="shared" ref="G25" si="6">F25/1</f>
        <v>0</v>
      </c>
      <c r="H25" s="5">
        <f>+G25-F25</f>
        <v>0</v>
      </c>
    </row>
    <row r="26" spans="1:13" s="7" customFormat="1" x14ac:dyDescent="0.2">
      <c r="A26" s="7" t="s">
        <v>36</v>
      </c>
      <c r="B26" s="170">
        <f t="shared" ref="B26:E26" si="7">SUM(B25)</f>
        <v>0</v>
      </c>
      <c r="C26" s="169">
        <f t="shared" si="7"/>
        <v>0</v>
      </c>
      <c r="D26" s="170">
        <f t="shared" si="7"/>
        <v>0</v>
      </c>
      <c r="E26" s="170">
        <f t="shared" si="7"/>
        <v>0</v>
      </c>
      <c r="F26" s="14">
        <v>0</v>
      </c>
      <c r="G26" s="14">
        <f>F26/1</f>
        <v>0</v>
      </c>
      <c r="H26" s="14">
        <f>+G26-F26</f>
        <v>0</v>
      </c>
      <c r="J26" s="22"/>
    </row>
    <row r="27" spans="1:13" x14ac:dyDescent="0.2">
      <c r="F27" s="5"/>
      <c r="G27" s="14"/>
      <c r="H27" s="5"/>
    </row>
    <row r="28" spans="1:13" s="7" customFormat="1" x14ac:dyDescent="0.2">
      <c r="A28" s="7" t="s">
        <v>147</v>
      </c>
      <c r="B28" s="170">
        <f t="shared" ref="B28:D28" si="8">+B22+B26</f>
        <v>74724623</v>
      </c>
      <c r="C28" s="169">
        <f t="shared" si="8"/>
        <v>22396771.460000001</v>
      </c>
      <c r="D28" s="170">
        <f t="shared" si="8"/>
        <v>81437883.460000008</v>
      </c>
      <c r="E28" s="170">
        <f>+E22+E26</f>
        <v>-6713260.4600000121</v>
      </c>
      <c r="F28" s="14">
        <f>+E28/B28</f>
        <v>-8.9840004411932753E-2</v>
      </c>
      <c r="G28" s="14">
        <f>F28/1</f>
        <v>-8.9840004411932753E-2</v>
      </c>
      <c r="H28" s="14">
        <f>+G28-F28</f>
        <v>0</v>
      </c>
      <c r="J28" s="22"/>
    </row>
    <row r="29" spans="1:13" x14ac:dyDescent="0.2">
      <c r="E29" s="168" t="s">
        <v>271</v>
      </c>
      <c r="F29" s="5"/>
      <c r="G29" s="5"/>
      <c r="H29" s="5"/>
    </row>
    <row r="30" spans="1:13" x14ac:dyDescent="0.2">
      <c r="A30" s="7" t="s">
        <v>29</v>
      </c>
      <c r="F30" s="5"/>
      <c r="G30" s="5"/>
      <c r="H30" s="5"/>
    </row>
    <row r="31" spans="1:13" x14ac:dyDescent="0.2">
      <c r="A31" s="6" t="s">
        <v>30</v>
      </c>
      <c r="B31" s="168">
        <v>25142018</v>
      </c>
      <c r="C31" s="178">
        <v>6129595.5600000005</v>
      </c>
      <c r="D31" s="168">
        <v>22531898.230000004</v>
      </c>
      <c r="E31" s="168">
        <f>+B31-D31</f>
        <v>2610119.7699999958</v>
      </c>
      <c r="F31" s="5">
        <f>+E31/B31</f>
        <v>0.10381504658854336</v>
      </c>
      <c r="G31" s="5">
        <f t="shared" ref="G31:G32" si="9">F31/1</f>
        <v>0.10381504658854336</v>
      </c>
      <c r="H31" s="5">
        <f>+G31-F31</f>
        <v>0</v>
      </c>
    </row>
    <row r="32" spans="1:13" x14ac:dyDescent="0.2">
      <c r="A32" s="6" t="s">
        <v>31</v>
      </c>
      <c r="B32" s="168">
        <v>7816132</v>
      </c>
      <c r="C32" s="178">
        <v>1667094.6799999995</v>
      </c>
      <c r="D32" s="168">
        <v>6504069.1199999992</v>
      </c>
      <c r="E32" s="168">
        <f>+B32-D32</f>
        <v>1312062.8800000008</v>
      </c>
      <c r="F32" s="5">
        <f>+E32/B32</f>
        <v>0.16786600840415705</v>
      </c>
      <c r="G32" s="5">
        <f t="shared" si="9"/>
        <v>0.16786600840415705</v>
      </c>
      <c r="H32" s="5">
        <f>+G32-F32</f>
        <v>0</v>
      </c>
    </row>
    <row r="33" spans="1:12" s="7" customFormat="1" x14ac:dyDescent="0.2">
      <c r="A33" s="7" t="s">
        <v>32</v>
      </c>
      <c r="B33" s="170">
        <f>SUM(B31:B32)</f>
        <v>32958150</v>
      </c>
      <c r="C33" s="169">
        <f>SUM(C31:C32)</f>
        <v>7796690.2400000002</v>
      </c>
      <c r="D33" s="170">
        <f>SUM(D31:D32)</f>
        <v>29035967.350000001</v>
      </c>
      <c r="E33" s="170">
        <f>SUM(E31:E32)</f>
        <v>3922182.6499999966</v>
      </c>
      <c r="F33" s="14">
        <f>+E33/B33</f>
        <v>0.11900493959764115</v>
      </c>
      <c r="G33" s="14">
        <f>F33/1</f>
        <v>0.11900493959764115</v>
      </c>
      <c r="H33" s="14">
        <f>+G33-F33</f>
        <v>0</v>
      </c>
      <c r="J33" s="22"/>
      <c r="L33" s="10"/>
    </row>
    <row r="34" spans="1:12" x14ac:dyDescent="0.2">
      <c r="F34" s="5"/>
      <c r="G34" s="5"/>
      <c r="H34" s="5"/>
    </row>
    <row r="35" spans="1:12" x14ac:dyDescent="0.2">
      <c r="F35" s="5"/>
      <c r="G35" s="5"/>
      <c r="H35" s="5"/>
    </row>
    <row r="36" spans="1:12" x14ac:dyDescent="0.2">
      <c r="A36" s="167" t="s">
        <v>201</v>
      </c>
      <c r="B36" s="168">
        <v>286000</v>
      </c>
      <c r="C36" s="178">
        <v>114006.25</v>
      </c>
      <c r="D36" s="168">
        <v>463425.04</v>
      </c>
      <c r="E36" s="168">
        <f t="shared" ref="E36:E70" si="10">B36-D36</f>
        <v>-177425.03999999998</v>
      </c>
      <c r="F36" s="5">
        <f>E36/B36</f>
        <v>-0.62036727272727266</v>
      </c>
      <c r="G36" s="5">
        <f t="shared" ref="G36:G109" si="11">F36/1</f>
        <v>-0.62036727272727266</v>
      </c>
      <c r="H36" s="5">
        <f t="shared" ref="H36:H70" si="12">G36-F36</f>
        <v>0</v>
      </c>
    </row>
    <row r="37" spans="1:12" x14ac:dyDescent="0.2">
      <c r="A37" s="167" t="s">
        <v>244</v>
      </c>
      <c r="B37" s="168">
        <v>9971</v>
      </c>
      <c r="C37" s="178">
        <v>5169.2700000000004</v>
      </c>
      <c r="D37" s="168">
        <v>8461.6</v>
      </c>
      <c r="E37" s="168">
        <f t="shared" si="10"/>
        <v>1509.3999999999996</v>
      </c>
      <c r="F37" s="5">
        <f t="shared" ref="F37:F70" si="13">E37/B37</f>
        <v>0.15137899909738237</v>
      </c>
      <c r="G37" s="5">
        <f t="shared" si="11"/>
        <v>0.15137899909738237</v>
      </c>
      <c r="H37" s="5">
        <f t="shared" si="12"/>
        <v>0</v>
      </c>
    </row>
    <row r="38" spans="1:12" x14ac:dyDescent="0.2">
      <c r="A38" s="167" t="s">
        <v>211</v>
      </c>
      <c r="B38" s="168">
        <v>21250</v>
      </c>
      <c r="C38" s="178">
        <v>4457.1100000000006</v>
      </c>
      <c r="D38" s="168">
        <v>15217.54</v>
      </c>
      <c r="E38" s="168">
        <f t="shared" si="10"/>
        <v>6032.4599999999991</v>
      </c>
      <c r="F38" s="5">
        <f t="shared" si="13"/>
        <v>0.28388047058823523</v>
      </c>
      <c r="G38" s="5">
        <f t="shared" si="11"/>
        <v>0.28388047058823523</v>
      </c>
      <c r="H38" s="5">
        <f t="shared" si="12"/>
        <v>0</v>
      </c>
    </row>
    <row r="39" spans="1:12" x14ac:dyDescent="0.2">
      <c r="A39" s="167" t="s">
        <v>251</v>
      </c>
      <c r="B39" s="168">
        <v>48000</v>
      </c>
      <c r="C39" s="178">
        <v>1947.18</v>
      </c>
      <c r="D39" s="168">
        <v>2152.1800000000003</v>
      </c>
      <c r="E39" s="168">
        <f t="shared" si="10"/>
        <v>45847.82</v>
      </c>
      <c r="F39" s="5">
        <f t="shared" si="13"/>
        <v>0.95516291666666664</v>
      </c>
      <c r="G39" s="5">
        <f t="shared" si="11"/>
        <v>0.95516291666666664</v>
      </c>
      <c r="H39" s="5">
        <f t="shared" si="12"/>
        <v>0</v>
      </c>
    </row>
    <row r="40" spans="1:12" x14ac:dyDescent="0.2">
      <c r="A40" s="167" t="s">
        <v>378</v>
      </c>
      <c r="B40" s="168">
        <v>0</v>
      </c>
      <c r="C40" s="178">
        <v>6267.78</v>
      </c>
      <c r="D40" s="168">
        <v>6601.87</v>
      </c>
      <c r="E40" s="168">
        <f t="shared" ref="E40" si="14">B40-D40</f>
        <v>-6601.87</v>
      </c>
      <c r="F40" s="184">
        <v>0</v>
      </c>
      <c r="G40" s="5">
        <f t="shared" ref="G40" si="15">F40/1</f>
        <v>0</v>
      </c>
      <c r="H40" s="5">
        <f t="shared" ref="H40" si="16">G40-F40</f>
        <v>0</v>
      </c>
    </row>
    <row r="41" spans="1:12" x14ac:dyDescent="0.2">
      <c r="A41" s="167" t="s">
        <v>223</v>
      </c>
      <c r="B41" s="168">
        <v>257400</v>
      </c>
      <c r="C41" s="178">
        <v>34069</v>
      </c>
      <c r="D41" s="168">
        <v>155630</v>
      </c>
      <c r="E41" s="168">
        <f t="shared" si="10"/>
        <v>101770</v>
      </c>
      <c r="F41" s="5">
        <f t="shared" si="13"/>
        <v>0.39537684537684537</v>
      </c>
      <c r="G41" s="5">
        <f t="shared" si="11"/>
        <v>0.39537684537684537</v>
      </c>
      <c r="H41" s="5">
        <f t="shared" si="12"/>
        <v>0</v>
      </c>
    </row>
    <row r="42" spans="1:12" x14ac:dyDescent="0.2">
      <c r="A42" s="167" t="s">
        <v>224</v>
      </c>
      <c r="B42" s="168">
        <v>321480</v>
      </c>
      <c r="C42" s="178">
        <v>134356</v>
      </c>
      <c r="D42" s="168">
        <v>475426</v>
      </c>
      <c r="E42" s="168">
        <f t="shared" si="10"/>
        <v>-153946</v>
      </c>
      <c r="F42" s="5">
        <f t="shared" si="13"/>
        <v>-0.47886649247231555</v>
      </c>
      <c r="G42" s="5">
        <f t="shared" si="11"/>
        <v>-0.47886649247231555</v>
      </c>
      <c r="H42" s="5">
        <f t="shared" si="12"/>
        <v>0</v>
      </c>
    </row>
    <row r="43" spans="1:12" x14ac:dyDescent="0.2">
      <c r="A43" s="167" t="s">
        <v>379</v>
      </c>
      <c r="B43" s="168">
        <v>0</v>
      </c>
      <c r="C43" s="178">
        <v>10</v>
      </c>
      <c r="D43" s="168">
        <v>35</v>
      </c>
      <c r="E43" s="168">
        <f t="shared" ref="E43" si="17">B43-D43</f>
        <v>-35</v>
      </c>
      <c r="F43" s="184">
        <v>0</v>
      </c>
      <c r="G43" s="5">
        <f t="shared" ref="G43" si="18">F43/1</f>
        <v>0</v>
      </c>
      <c r="H43" s="5">
        <f t="shared" ref="H43" si="19">G43-F43</f>
        <v>0</v>
      </c>
    </row>
    <row r="44" spans="1:12" x14ac:dyDescent="0.2">
      <c r="A44" s="167" t="s">
        <v>256</v>
      </c>
      <c r="B44" s="168">
        <v>1442977</v>
      </c>
      <c r="C44" s="178">
        <v>300681.73000000021</v>
      </c>
      <c r="D44" s="168">
        <v>1535174.36</v>
      </c>
      <c r="E44" s="168">
        <f t="shared" si="10"/>
        <v>-92197.360000000102</v>
      </c>
      <c r="F44" s="5">
        <f t="shared" si="13"/>
        <v>-6.3893852777972271E-2</v>
      </c>
      <c r="G44" s="5">
        <f t="shared" si="11"/>
        <v>-6.3893852777972271E-2</v>
      </c>
      <c r="H44" s="5">
        <f t="shared" si="12"/>
        <v>0</v>
      </c>
    </row>
    <row r="45" spans="1:12" x14ac:dyDescent="0.2">
      <c r="A45" s="167" t="s">
        <v>257</v>
      </c>
      <c r="B45" s="168">
        <v>1684292</v>
      </c>
      <c r="C45" s="178">
        <v>0</v>
      </c>
      <c r="D45" s="168">
        <v>1718703.96</v>
      </c>
      <c r="E45" s="168">
        <f t="shared" si="10"/>
        <v>-34411.959999999963</v>
      </c>
      <c r="F45" s="5">
        <f t="shared" si="13"/>
        <v>-2.0431112894913686E-2</v>
      </c>
      <c r="G45" s="5">
        <f t="shared" si="11"/>
        <v>-2.0431112894913686E-2</v>
      </c>
      <c r="H45" s="5">
        <f t="shared" si="12"/>
        <v>0</v>
      </c>
    </row>
    <row r="46" spans="1:12" x14ac:dyDescent="0.2">
      <c r="A46" s="167" t="s">
        <v>372</v>
      </c>
      <c r="B46" s="168">
        <v>0</v>
      </c>
      <c r="C46" s="178">
        <v>0</v>
      </c>
      <c r="D46" s="168">
        <v>4073.73</v>
      </c>
      <c r="E46" s="168">
        <f>B46-D46</f>
        <v>-4073.73</v>
      </c>
      <c r="F46" s="184">
        <v>0</v>
      </c>
      <c r="G46" s="5">
        <f>F46/1</f>
        <v>0</v>
      </c>
      <c r="H46" s="5">
        <f>G46-F46</f>
        <v>0</v>
      </c>
    </row>
    <row r="47" spans="1:12" x14ac:dyDescent="0.2">
      <c r="A47" s="167" t="s">
        <v>253</v>
      </c>
      <c r="B47" s="168">
        <v>80601</v>
      </c>
      <c r="C47" s="178">
        <v>18955.849999999999</v>
      </c>
      <c r="D47" s="168">
        <v>70657.03</v>
      </c>
      <c r="E47" s="168">
        <f t="shared" si="10"/>
        <v>9943.9700000000012</v>
      </c>
      <c r="F47" s="5">
        <f t="shared" si="13"/>
        <v>0.12337278693812734</v>
      </c>
      <c r="G47" s="5">
        <f t="shared" si="11"/>
        <v>0.12337278693812734</v>
      </c>
      <c r="H47" s="5">
        <f t="shared" si="12"/>
        <v>0</v>
      </c>
    </row>
    <row r="48" spans="1:12" x14ac:dyDescent="0.2">
      <c r="A48" s="167" t="s">
        <v>294</v>
      </c>
      <c r="B48" s="168">
        <v>10000</v>
      </c>
      <c r="C48" s="178">
        <v>14993.950000000004</v>
      </c>
      <c r="D48" s="168">
        <v>39116.160000000003</v>
      </c>
      <c r="E48" s="168">
        <f t="shared" si="10"/>
        <v>-29116.160000000003</v>
      </c>
      <c r="F48" s="5">
        <f t="shared" si="13"/>
        <v>-2.9116160000000004</v>
      </c>
      <c r="G48" s="5">
        <f t="shared" si="11"/>
        <v>-2.9116160000000004</v>
      </c>
      <c r="H48" s="5">
        <f t="shared" si="12"/>
        <v>0</v>
      </c>
    </row>
    <row r="49" spans="1:8" x14ac:dyDescent="0.2">
      <c r="A49" s="167" t="s">
        <v>263</v>
      </c>
      <c r="B49" s="168">
        <v>610000</v>
      </c>
      <c r="C49" s="178">
        <v>152500</v>
      </c>
      <c r="D49" s="168">
        <v>610000</v>
      </c>
      <c r="E49" s="168">
        <f t="shared" si="10"/>
        <v>0</v>
      </c>
      <c r="F49" s="5">
        <f t="shared" si="13"/>
        <v>0</v>
      </c>
      <c r="G49" s="5">
        <f t="shared" si="11"/>
        <v>0</v>
      </c>
      <c r="H49" s="5">
        <f t="shared" si="12"/>
        <v>0</v>
      </c>
    </row>
    <row r="50" spans="1:8" x14ac:dyDescent="0.2">
      <c r="A50" s="167" t="s">
        <v>377</v>
      </c>
      <c r="B50" s="168">
        <v>0</v>
      </c>
      <c r="C50" s="178">
        <v>13260.29</v>
      </c>
      <c r="D50" s="168">
        <v>13335.25</v>
      </c>
      <c r="E50" s="168">
        <f t="shared" si="10"/>
        <v>-13335.25</v>
      </c>
      <c r="F50" s="184">
        <v>0</v>
      </c>
      <c r="G50" s="5">
        <f t="shared" ref="G50" si="20">F50/1</f>
        <v>0</v>
      </c>
      <c r="H50" s="5">
        <f t="shared" ref="H50" si="21">G50-F50</f>
        <v>0</v>
      </c>
    </row>
    <row r="51" spans="1:8" x14ac:dyDescent="0.2">
      <c r="A51" s="167" t="s">
        <v>242</v>
      </c>
      <c r="B51" s="168">
        <v>6646</v>
      </c>
      <c r="C51" s="178">
        <v>175.28999999999996</v>
      </c>
      <c r="D51" s="168">
        <v>1669.1</v>
      </c>
      <c r="E51" s="168">
        <f t="shared" si="10"/>
        <v>4976.8999999999996</v>
      </c>
      <c r="F51" s="5">
        <f t="shared" si="13"/>
        <v>0.74885645501053255</v>
      </c>
      <c r="G51" s="5">
        <f t="shared" si="11"/>
        <v>0.74885645501053255</v>
      </c>
      <c r="H51" s="5">
        <f t="shared" si="12"/>
        <v>0</v>
      </c>
    </row>
    <row r="52" spans="1:8" x14ac:dyDescent="0.2">
      <c r="A52" s="167" t="s">
        <v>230</v>
      </c>
      <c r="B52" s="168">
        <v>240327</v>
      </c>
      <c r="E52" s="168">
        <f t="shared" si="10"/>
        <v>240327</v>
      </c>
      <c r="F52" s="5">
        <f t="shared" si="13"/>
        <v>1</v>
      </c>
      <c r="G52" s="5">
        <f t="shared" si="11"/>
        <v>1</v>
      </c>
      <c r="H52" s="5">
        <f t="shared" si="12"/>
        <v>0</v>
      </c>
    </row>
    <row r="53" spans="1:8" x14ac:dyDescent="0.2">
      <c r="A53" s="167" t="s">
        <v>255</v>
      </c>
      <c r="B53" s="168">
        <v>17965</v>
      </c>
      <c r="C53" s="178">
        <v>2200</v>
      </c>
      <c r="D53" s="168">
        <v>10358</v>
      </c>
      <c r="E53" s="168">
        <f t="shared" si="10"/>
        <v>7607</v>
      </c>
      <c r="F53" s="5">
        <f t="shared" si="13"/>
        <v>0.42343445588644585</v>
      </c>
      <c r="G53" s="5">
        <f t="shared" si="11"/>
        <v>0.42343445588644585</v>
      </c>
      <c r="H53" s="5">
        <f t="shared" si="12"/>
        <v>0</v>
      </c>
    </row>
    <row r="54" spans="1:8" x14ac:dyDescent="0.2">
      <c r="A54" s="167" t="s">
        <v>248</v>
      </c>
      <c r="B54" s="168">
        <v>53300</v>
      </c>
      <c r="C54" s="178">
        <v>8350.9000000000015</v>
      </c>
      <c r="D54" s="168">
        <v>25778.16</v>
      </c>
      <c r="E54" s="168">
        <f t="shared" si="10"/>
        <v>27521.84</v>
      </c>
      <c r="F54" s="5">
        <f t="shared" si="13"/>
        <v>0.51635722326454037</v>
      </c>
      <c r="G54" s="5">
        <f t="shared" si="11"/>
        <v>0.51635722326454037</v>
      </c>
      <c r="H54" s="5">
        <f t="shared" si="12"/>
        <v>0</v>
      </c>
    </row>
    <row r="55" spans="1:8" x14ac:dyDescent="0.2">
      <c r="A55" s="167" t="s">
        <v>295</v>
      </c>
      <c r="B55" s="168">
        <v>400</v>
      </c>
      <c r="C55" s="178">
        <v>0</v>
      </c>
      <c r="D55" s="168">
        <v>58.56</v>
      </c>
      <c r="E55" s="168">
        <f t="shared" si="10"/>
        <v>341.44</v>
      </c>
      <c r="F55" s="5">
        <f t="shared" si="13"/>
        <v>0.85360000000000003</v>
      </c>
      <c r="G55" s="5">
        <f t="shared" si="11"/>
        <v>0.85360000000000003</v>
      </c>
      <c r="H55" s="5">
        <f t="shared" si="12"/>
        <v>0</v>
      </c>
    </row>
    <row r="56" spans="1:8" x14ac:dyDescent="0.2">
      <c r="A56" s="167" t="s">
        <v>296</v>
      </c>
      <c r="B56" s="168">
        <v>11000</v>
      </c>
      <c r="E56" s="168">
        <f t="shared" si="10"/>
        <v>11000</v>
      </c>
      <c r="F56" s="5">
        <f t="shared" si="13"/>
        <v>1</v>
      </c>
      <c r="G56" s="5">
        <f t="shared" si="11"/>
        <v>1</v>
      </c>
      <c r="H56" s="5">
        <f t="shared" si="12"/>
        <v>0</v>
      </c>
    </row>
    <row r="57" spans="1:8" x14ac:dyDescent="0.2">
      <c r="A57" s="167" t="s">
        <v>232</v>
      </c>
      <c r="B57" s="168">
        <v>26000</v>
      </c>
      <c r="C57" s="178">
        <v>8364.7099999999991</v>
      </c>
      <c r="D57" s="168">
        <v>22653.85</v>
      </c>
      <c r="E57" s="168">
        <f t="shared" si="10"/>
        <v>3346.1500000000015</v>
      </c>
      <c r="F57" s="5">
        <f t="shared" si="13"/>
        <v>0.12869807692307697</v>
      </c>
      <c r="G57" s="5">
        <f t="shared" si="11"/>
        <v>0.12869807692307697</v>
      </c>
      <c r="H57" s="5">
        <f t="shared" si="12"/>
        <v>0</v>
      </c>
    </row>
    <row r="58" spans="1:8" x14ac:dyDescent="0.2">
      <c r="A58" s="167" t="s">
        <v>297</v>
      </c>
      <c r="B58" s="168">
        <v>20175</v>
      </c>
      <c r="C58" s="178">
        <v>1780.43</v>
      </c>
      <c r="D58" s="168">
        <v>4392.34</v>
      </c>
      <c r="E58" s="168">
        <f t="shared" si="10"/>
        <v>15782.66</v>
      </c>
      <c r="F58" s="5">
        <f t="shared" si="13"/>
        <v>0.782287980173482</v>
      </c>
      <c r="G58" s="5">
        <f t="shared" si="11"/>
        <v>0.782287980173482</v>
      </c>
      <c r="H58" s="5">
        <f t="shared" si="12"/>
        <v>0</v>
      </c>
    </row>
    <row r="59" spans="1:8" x14ac:dyDescent="0.2">
      <c r="A59" s="167" t="s">
        <v>298</v>
      </c>
      <c r="B59" s="168">
        <v>1000</v>
      </c>
      <c r="E59" s="168">
        <f t="shared" si="10"/>
        <v>1000</v>
      </c>
      <c r="F59" s="5">
        <f t="shared" si="13"/>
        <v>1</v>
      </c>
      <c r="G59" s="5">
        <f t="shared" si="11"/>
        <v>1</v>
      </c>
      <c r="H59" s="5">
        <f t="shared" si="12"/>
        <v>0</v>
      </c>
    </row>
    <row r="60" spans="1:8" x14ac:dyDescent="0.2">
      <c r="A60" s="167" t="s">
        <v>299</v>
      </c>
      <c r="B60" s="168">
        <v>14800</v>
      </c>
      <c r="C60" s="178">
        <v>1463.8799999999999</v>
      </c>
      <c r="D60" s="168">
        <v>4158.5599999999995</v>
      </c>
      <c r="E60" s="168">
        <f t="shared" si="10"/>
        <v>10641.44</v>
      </c>
      <c r="F60" s="5">
        <f t="shared" si="13"/>
        <v>0.71901621621621625</v>
      </c>
      <c r="G60" s="5">
        <f t="shared" si="11"/>
        <v>0.71901621621621625</v>
      </c>
      <c r="H60" s="5">
        <f t="shared" si="12"/>
        <v>0</v>
      </c>
    </row>
    <row r="61" spans="1:8" x14ac:dyDescent="0.2">
      <c r="A61" s="167" t="s">
        <v>300</v>
      </c>
      <c r="B61" s="168">
        <v>500</v>
      </c>
      <c r="E61" s="168">
        <f t="shared" si="10"/>
        <v>500</v>
      </c>
      <c r="F61" s="5">
        <f t="shared" si="13"/>
        <v>1</v>
      </c>
      <c r="G61" s="5">
        <f t="shared" si="11"/>
        <v>1</v>
      </c>
      <c r="H61" s="5">
        <f t="shared" si="12"/>
        <v>0</v>
      </c>
    </row>
    <row r="62" spans="1:8" x14ac:dyDescent="0.2">
      <c r="A62" s="167" t="s">
        <v>301</v>
      </c>
      <c r="B62" s="168">
        <v>1500</v>
      </c>
      <c r="E62" s="168">
        <f t="shared" si="10"/>
        <v>1500</v>
      </c>
      <c r="F62" s="5">
        <f t="shared" si="13"/>
        <v>1</v>
      </c>
      <c r="G62" s="5">
        <f t="shared" si="11"/>
        <v>1</v>
      </c>
      <c r="H62" s="5">
        <f t="shared" si="12"/>
        <v>0</v>
      </c>
    </row>
    <row r="63" spans="1:8" x14ac:dyDescent="0.2">
      <c r="A63" s="167" t="s">
        <v>302</v>
      </c>
      <c r="B63" s="168">
        <v>1500</v>
      </c>
      <c r="E63" s="168">
        <f t="shared" si="10"/>
        <v>1500</v>
      </c>
      <c r="F63" s="5">
        <f t="shared" si="13"/>
        <v>1</v>
      </c>
      <c r="G63" s="5">
        <f t="shared" si="11"/>
        <v>1</v>
      </c>
      <c r="H63" s="5">
        <f t="shared" si="12"/>
        <v>0</v>
      </c>
    </row>
    <row r="64" spans="1:8" x14ac:dyDescent="0.2">
      <c r="A64" s="167" t="s">
        <v>303</v>
      </c>
      <c r="B64" s="168">
        <v>1500</v>
      </c>
      <c r="E64" s="168">
        <f t="shared" si="10"/>
        <v>1500</v>
      </c>
      <c r="F64" s="5">
        <f t="shared" si="13"/>
        <v>1</v>
      </c>
      <c r="G64" s="5">
        <f t="shared" si="11"/>
        <v>1</v>
      </c>
      <c r="H64" s="5">
        <f t="shared" si="12"/>
        <v>0</v>
      </c>
    </row>
    <row r="65" spans="1:8" x14ac:dyDescent="0.2">
      <c r="A65" s="167" t="s">
        <v>304</v>
      </c>
      <c r="B65" s="168">
        <v>1500</v>
      </c>
      <c r="E65" s="168">
        <f t="shared" si="10"/>
        <v>1500</v>
      </c>
      <c r="F65" s="5">
        <f t="shared" si="13"/>
        <v>1</v>
      </c>
      <c r="G65" s="5">
        <f t="shared" si="11"/>
        <v>1</v>
      </c>
      <c r="H65" s="5">
        <f t="shared" si="12"/>
        <v>0</v>
      </c>
    </row>
    <row r="66" spans="1:8" x14ac:dyDescent="0.2">
      <c r="A66" s="167" t="s">
        <v>305</v>
      </c>
      <c r="B66" s="168">
        <v>1500</v>
      </c>
      <c r="E66" s="168">
        <f t="shared" si="10"/>
        <v>1500</v>
      </c>
      <c r="F66" s="5">
        <f t="shared" si="13"/>
        <v>1</v>
      </c>
      <c r="G66" s="5">
        <f t="shared" si="11"/>
        <v>1</v>
      </c>
      <c r="H66" s="5">
        <f t="shared" si="12"/>
        <v>0</v>
      </c>
    </row>
    <row r="67" spans="1:8" x14ac:dyDescent="0.2">
      <c r="A67" s="167" t="s">
        <v>306</v>
      </c>
      <c r="B67" s="168">
        <v>1500</v>
      </c>
      <c r="E67" s="168">
        <f t="shared" si="10"/>
        <v>1500</v>
      </c>
      <c r="F67" s="5">
        <f t="shared" si="13"/>
        <v>1</v>
      </c>
      <c r="G67" s="5">
        <f t="shared" si="11"/>
        <v>1</v>
      </c>
      <c r="H67" s="5">
        <f t="shared" si="12"/>
        <v>0</v>
      </c>
    </row>
    <row r="68" spans="1:8" x14ac:dyDescent="0.2">
      <c r="A68" s="167" t="s">
        <v>307</v>
      </c>
      <c r="B68" s="168">
        <v>1500</v>
      </c>
      <c r="E68" s="168">
        <f t="shared" si="10"/>
        <v>1500</v>
      </c>
      <c r="F68" s="5">
        <f t="shared" si="13"/>
        <v>1</v>
      </c>
      <c r="G68" s="5">
        <f t="shared" si="11"/>
        <v>1</v>
      </c>
      <c r="H68" s="5">
        <f t="shared" si="12"/>
        <v>0</v>
      </c>
    </row>
    <row r="69" spans="1:8" x14ac:dyDescent="0.2">
      <c r="A69" s="167" t="s">
        <v>308</v>
      </c>
      <c r="B69" s="168">
        <v>250</v>
      </c>
      <c r="E69" s="168">
        <f t="shared" si="10"/>
        <v>250</v>
      </c>
      <c r="F69" s="5">
        <f t="shared" si="13"/>
        <v>1</v>
      </c>
      <c r="G69" s="5">
        <f t="shared" si="11"/>
        <v>1</v>
      </c>
      <c r="H69" s="5">
        <f t="shared" si="12"/>
        <v>0</v>
      </c>
    </row>
    <row r="70" spans="1:8" x14ac:dyDescent="0.2">
      <c r="A70" s="167" t="s">
        <v>222</v>
      </c>
      <c r="B70" s="168">
        <v>99122</v>
      </c>
      <c r="C70" s="178">
        <v>15112.71</v>
      </c>
      <c r="D70" s="168">
        <v>36786.32</v>
      </c>
      <c r="E70" s="168">
        <f t="shared" si="10"/>
        <v>62335.68</v>
      </c>
      <c r="F70" s="5">
        <f t="shared" si="13"/>
        <v>0.6288783519299449</v>
      </c>
      <c r="G70" s="5">
        <f t="shared" si="11"/>
        <v>0.6288783519299449</v>
      </c>
      <c r="H70" s="5">
        <f t="shared" si="12"/>
        <v>0</v>
      </c>
    </row>
    <row r="71" spans="1:8" x14ac:dyDescent="0.2">
      <c r="A71" s="167" t="s">
        <v>270</v>
      </c>
      <c r="B71" s="168">
        <v>11552</v>
      </c>
      <c r="C71" s="178">
        <v>17954.439999999999</v>
      </c>
      <c r="D71" s="180">
        <v>35567.14</v>
      </c>
      <c r="E71" s="168">
        <f>B71-D71</f>
        <v>-24015.14</v>
      </c>
      <c r="F71" s="5">
        <f>E71/B71</f>
        <v>-2.078872922437673</v>
      </c>
      <c r="G71" s="5">
        <f t="shared" si="11"/>
        <v>-2.078872922437673</v>
      </c>
      <c r="H71" s="5">
        <f>G71-F71</f>
        <v>0</v>
      </c>
    </row>
    <row r="72" spans="1:8" x14ac:dyDescent="0.2">
      <c r="A72" s="167" t="s">
        <v>259</v>
      </c>
      <c r="B72" s="168">
        <v>11050</v>
      </c>
      <c r="C72" s="183">
        <v>-830</v>
      </c>
      <c r="D72" s="180">
        <v>8872.69</v>
      </c>
      <c r="E72" s="168">
        <f t="shared" ref="E72:E164" si="22">B72-D72</f>
        <v>2177.3099999999995</v>
      </c>
      <c r="F72" s="5">
        <f t="shared" ref="F72:F164" si="23">E72/B72</f>
        <v>0.19704162895927596</v>
      </c>
      <c r="G72" s="5">
        <f t="shared" si="11"/>
        <v>0.19704162895927596</v>
      </c>
      <c r="H72" s="5">
        <f t="shared" ref="H72:H164" si="24">G72-F72</f>
        <v>0</v>
      </c>
    </row>
    <row r="73" spans="1:8" x14ac:dyDescent="0.2">
      <c r="A73" s="167" t="s">
        <v>266</v>
      </c>
      <c r="B73" s="168">
        <v>12000</v>
      </c>
      <c r="C73" s="183"/>
      <c r="D73" s="180"/>
      <c r="E73" s="168">
        <f t="shared" si="22"/>
        <v>12000</v>
      </c>
      <c r="F73" s="5">
        <f t="shared" si="23"/>
        <v>1</v>
      </c>
      <c r="G73" s="5">
        <f t="shared" si="11"/>
        <v>1</v>
      </c>
      <c r="H73" s="5">
        <f t="shared" si="24"/>
        <v>0</v>
      </c>
    </row>
    <row r="74" spans="1:8" x14ac:dyDescent="0.2">
      <c r="A74" s="167" t="s">
        <v>262</v>
      </c>
      <c r="B74" s="168">
        <v>417752</v>
      </c>
      <c r="C74" s="183">
        <v>124332.57</v>
      </c>
      <c r="D74" s="180">
        <v>417750.96</v>
      </c>
      <c r="E74" s="168">
        <f t="shared" si="22"/>
        <v>1.0399999999790452</v>
      </c>
      <c r="F74" s="5">
        <f t="shared" si="23"/>
        <v>2.4895153104689991E-6</v>
      </c>
      <c r="G74" s="5">
        <f t="shared" si="11"/>
        <v>2.4895153104689991E-6</v>
      </c>
      <c r="H74" s="5">
        <f t="shared" si="24"/>
        <v>0</v>
      </c>
    </row>
    <row r="75" spans="1:8" x14ac:dyDescent="0.2">
      <c r="A75" s="167" t="s">
        <v>309</v>
      </c>
      <c r="B75" s="168">
        <v>3200</v>
      </c>
      <c r="C75" s="183">
        <v>611.79999999999973</v>
      </c>
      <c r="D75" s="180">
        <v>2563.9499999999998</v>
      </c>
      <c r="E75" s="168">
        <f t="shared" si="22"/>
        <v>636.05000000000018</v>
      </c>
      <c r="F75" s="5">
        <f t="shared" si="23"/>
        <v>0.19876562500000006</v>
      </c>
      <c r="G75" s="5">
        <f t="shared" si="11"/>
        <v>0.19876562500000006</v>
      </c>
      <c r="H75" s="5">
        <f t="shared" si="24"/>
        <v>0</v>
      </c>
    </row>
    <row r="76" spans="1:8" x14ac:dyDescent="0.2">
      <c r="A76" s="167" t="s">
        <v>357</v>
      </c>
      <c r="B76" s="168">
        <v>0</v>
      </c>
      <c r="C76" s="183">
        <v>709.39000000000033</v>
      </c>
      <c r="D76" s="180">
        <v>7003.85</v>
      </c>
      <c r="E76" s="168">
        <f t="shared" ref="E76" si="25">B76-D76</f>
        <v>-7003.85</v>
      </c>
      <c r="F76" s="184">
        <v>0</v>
      </c>
      <c r="G76" s="5">
        <f t="shared" ref="G76" si="26">F76/1</f>
        <v>0</v>
      </c>
      <c r="H76" s="5">
        <f t="shared" ref="H76" si="27">G76-F76</f>
        <v>0</v>
      </c>
    </row>
    <row r="77" spans="1:8" x14ac:dyDescent="0.2">
      <c r="A77" s="167" t="s">
        <v>358</v>
      </c>
      <c r="B77" s="168">
        <v>0</v>
      </c>
      <c r="C77" s="183">
        <v>0</v>
      </c>
      <c r="D77" s="180">
        <v>-1725</v>
      </c>
      <c r="E77" s="168">
        <f t="shared" ref="E77" si="28">B77-D77</f>
        <v>1725</v>
      </c>
      <c r="F77" s="184">
        <v>0</v>
      </c>
      <c r="G77" s="5">
        <f t="shared" ref="G77" si="29">F77/1</f>
        <v>0</v>
      </c>
      <c r="H77" s="5">
        <f t="shared" ref="H77" si="30">G77-F77</f>
        <v>0</v>
      </c>
    </row>
    <row r="78" spans="1:8" x14ac:dyDescent="0.2">
      <c r="A78" s="167" t="s">
        <v>204</v>
      </c>
      <c r="B78" s="168">
        <v>100000</v>
      </c>
      <c r="C78" s="183">
        <v>26632</v>
      </c>
      <c r="D78" s="180">
        <v>39068.5</v>
      </c>
      <c r="E78" s="168">
        <f t="shared" si="22"/>
        <v>60931.5</v>
      </c>
      <c r="F78" s="5">
        <f t="shared" si="23"/>
        <v>0.60931500000000005</v>
      </c>
      <c r="G78" s="5">
        <f t="shared" si="11"/>
        <v>0.60931500000000005</v>
      </c>
      <c r="H78" s="5">
        <f t="shared" si="24"/>
        <v>0</v>
      </c>
    </row>
    <row r="79" spans="1:8" x14ac:dyDescent="0.2">
      <c r="A79" s="167" t="s">
        <v>264</v>
      </c>
      <c r="B79" s="168">
        <v>228349</v>
      </c>
      <c r="C79" s="183">
        <v>0</v>
      </c>
      <c r="D79" s="180">
        <v>228349</v>
      </c>
      <c r="E79" s="168">
        <f t="shared" si="22"/>
        <v>0</v>
      </c>
      <c r="F79" s="5">
        <f t="shared" si="23"/>
        <v>0</v>
      </c>
      <c r="G79" s="5">
        <f t="shared" si="11"/>
        <v>0</v>
      </c>
      <c r="H79" s="5">
        <f t="shared" si="24"/>
        <v>0</v>
      </c>
    </row>
    <row r="80" spans="1:8" x14ac:dyDescent="0.2">
      <c r="A80" s="167" t="s">
        <v>310</v>
      </c>
      <c r="B80" s="168">
        <v>19270</v>
      </c>
      <c r="C80" s="183">
        <v>12194.799999999996</v>
      </c>
      <c r="D80" s="180">
        <v>59551.75</v>
      </c>
      <c r="E80" s="168">
        <f t="shared" si="22"/>
        <v>-40281.75</v>
      </c>
      <c r="F80" s="5">
        <f t="shared" si="23"/>
        <v>-2.0903866113129217</v>
      </c>
      <c r="G80" s="5">
        <f t="shared" si="11"/>
        <v>-2.0903866113129217</v>
      </c>
      <c r="H80" s="5">
        <f t="shared" si="24"/>
        <v>0</v>
      </c>
    </row>
    <row r="81" spans="1:8" x14ac:dyDescent="0.2">
      <c r="A81" s="167" t="s">
        <v>240</v>
      </c>
      <c r="B81" s="168">
        <v>429679</v>
      </c>
      <c r="C81" s="183">
        <v>131444.37</v>
      </c>
      <c r="D81" s="180">
        <v>420030.66000000003</v>
      </c>
      <c r="E81" s="168">
        <f t="shared" si="22"/>
        <v>9648.3399999999674</v>
      </c>
      <c r="F81" s="5">
        <v>0</v>
      </c>
      <c r="G81" s="5">
        <f t="shared" si="11"/>
        <v>0</v>
      </c>
      <c r="H81" s="5">
        <f t="shared" si="24"/>
        <v>0</v>
      </c>
    </row>
    <row r="82" spans="1:8" x14ac:dyDescent="0.2">
      <c r="A82" s="167" t="s">
        <v>235</v>
      </c>
      <c r="B82" s="168">
        <v>2000</v>
      </c>
      <c r="C82" s="183">
        <v>0</v>
      </c>
      <c r="D82" s="180">
        <v>950</v>
      </c>
      <c r="E82" s="168">
        <f t="shared" si="22"/>
        <v>1050</v>
      </c>
      <c r="F82" s="5">
        <f t="shared" si="23"/>
        <v>0.52500000000000002</v>
      </c>
      <c r="G82" s="5">
        <f t="shared" si="11"/>
        <v>0.52500000000000002</v>
      </c>
      <c r="H82" s="5">
        <f t="shared" si="24"/>
        <v>0</v>
      </c>
    </row>
    <row r="83" spans="1:8" x14ac:dyDescent="0.2">
      <c r="A83" s="167" t="s">
        <v>200</v>
      </c>
      <c r="B83" s="168">
        <v>9500</v>
      </c>
      <c r="C83" s="183">
        <v>2473.41</v>
      </c>
      <c r="D83" s="180">
        <v>10393.64</v>
      </c>
      <c r="E83" s="168">
        <f t="shared" si="22"/>
        <v>-893.63999999999942</v>
      </c>
      <c r="F83" s="5">
        <f t="shared" si="23"/>
        <v>-9.4067368421052566E-2</v>
      </c>
      <c r="G83" s="5">
        <f t="shared" si="11"/>
        <v>-9.4067368421052566E-2</v>
      </c>
      <c r="H83" s="5">
        <f t="shared" si="24"/>
        <v>0</v>
      </c>
    </row>
    <row r="84" spans="1:8" x14ac:dyDescent="0.2">
      <c r="A84" s="167" t="s">
        <v>227</v>
      </c>
      <c r="B84" s="168">
        <v>9000</v>
      </c>
      <c r="C84" s="183">
        <v>0</v>
      </c>
      <c r="D84" s="180">
        <v>-1337.12</v>
      </c>
      <c r="E84" s="168">
        <f t="shared" si="22"/>
        <v>10337.119999999999</v>
      </c>
      <c r="F84" s="5">
        <f t="shared" si="23"/>
        <v>1.1485688888888888</v>
      </c>
      <c r="G84" s="5">
        <f t="shared" si="11"/>
        <v>1.1485688888888888</v>
      </c>
      <c r="H84" s="5">
        <f t="shared" si="24"/>
        <v>0</v>
      </c>
    </row>
    <row r="85" spans="1:8" x14ac:dyDescent="0.2">
      <c r="A85" s="167" t="s">
        <v>241</v>
      </c>
      <c r="B85" s="168">
        <v>5578</v>
      </c>
      <c r="C85" s="183">
        <v>4488.7000000000007</v>
      </c>
      <c r="D85" s="180">
        <v>11689.37</v>
      </c>
      <c r="E85" s="168">
        <f t="shared" ref="E85" si="31">B85-D85</f>
        <v>-6111.3700000000008</v>
      </c>
      <c r="F85" s="5">
        <f t="shared" si="23"/>
        <v>-1.0956202940121909</v>
      </c>
      <c r="G85" s="5">
        <f t="shared" ref="G85" si="32">F85/1</f>
        <v>-1.0956202940121909</v>
      </c>
      <c r="H85" s="5">
        <f t="shared" ref="H85" si="33">G85-F85</f>
        <v>0</v>
      </c>
    </row>
    <row r="86" spans="1:8" x14ac:dyDescent="0.2">
      <c r="A86" s="167" t="s">
        <v>237</v>
      </c>
      <c r="B86" s="168">
        <v>1000</v>
      </c>
      <c r="C86" s="183">
        <v>0</v>
      </c>
      <c r="D86" s="180">
        <v>95.95</v>
      </c>
      <c r="E86" s="168">
        <f t="shared" si="22"/>
        <v>904.05</v>
      </c>
      <c r="F86" s="5">
        <f t="shared" si="23"/>
        <v>0.90404999999999991</v>
      </c>
      <c r="G86" s="5">
        <f t="shared" si="11"/>
        <v>0.90404999999999991</v>
      </c>
      <c r="H86" s="5">
        <f t="shared" si="24"/>
        <v>0</v>
      </c>
    </row>
    <row r="87" spans="1:8" x14ac:dyDescent="0.2">
      <c r="A87" s="167" t="s">
        <v>228</v>
      </c>
      <c r="B87" s="168">
        <v>1286715</v>
      </c>
      <c r="C87" s="183">
        <v>391416</v>
      </c>
      <c r="D87" s="180">
        <v>1566079.84</v>
      </c>
      <c r="E87" s="168">
        <f t="shared" si="22"/>
        <v>-279364.84000000008</v>
      </c>
      <c r="F87" s="5">
        <f t="shared" si="23"/>
        <v>-0.21711477677652011</v>
      </c>
      <c r="G87" s="5">
        <f t="shared" si="11"/>
        <v>-0.21711477677652011</v>
      </c>
      <c r="H87" s="5">
        <f t="shared" si="24"/>
        <v>0</v>
      </c>
    </row>
    <row r="88" spans="1:8" x14ac:dyDescent="0.2">
      <c r="A88" s="167" t="s">
        <v>311</v>
      </c>
      <c r="B88" s="168">
        <v>245000</v>
      </c>
      <c r="C88" s="183"/>
      <c r="D88" s="180"/>
      <c r="E88" s="168">
        <f t="shared" si="22"/>
        <v>245000</v>
      </c>
      <c r="F88" s="5">
        <f t="shared" si="23"/>
        <v>1</v>
      </c>
      <c r="G88" s="5">
        <f t="shared" si="11"/>
        <v>1</v>
      </c>
      <c r="H88" s="5">
        <f t="shared" si="24"/>
        <v>0</v>
      </c>
    </row>
    <row r="89" spans="1:8" x14ac:dyDescent="0.2">
      <c r="A89" s="167" t="s">
        <v>359</v>
      </c>
      <c r="B89" s="168">
        <v>0</v>
      </c>
      <c r="C89" s="183">
        <v>70</v>
      </c>
      <c r="D89" s="180">
        <v>-594.44000000000005</v>
      </c>
      <c r="E89" s="168">
        <f t="shared" ref="E89" si="34">B89-D89</f>
        <v>594.44000000000005</v>
      </c>
      <c r="F89" s="184">
        <v>0</v>
      </c>
      <c r="G89" s="5">
        <f t="shared" ref="G89" si="35">F89/1</f>
        <v>0</v>
      </c>
      <c r="H89" s="5">
        <f t="shared" ref="H89" si="36">G89-F89</f>
        <v>0</v>
      </c>
    </row>
    <row r="90" spans="1:8" x14ac:dyDescent="0.2">
      <c r="A90" s="167" t="s">
        <v>247</v>
      </c>
      <c r="B90" s="168">
        <v>15639</v>
      </c>
      <c r="C90" s="183">
        <v>2546.6800000000003</v>
      </c>
      <c r="D90" s="180">
        <v>11669.880000000001</v>
      </c>
      <c r="E90" s="168">
        <f t="shared" si="22"/>
        <v>3969.119999999999</v>
      </c>
      <c r="F90" s="5">
        <f t="shared" si="23"/>
        <v>0.2537962785344331</v>
      </c>
      <c r="G90" s="5">
        <f t="shared" si="11"/>
        <v>0.2537962785344331</v>
      </c>
      <c r="H90" s="5">
        <f t="shared" si="24"/>
        <v>0</v>
      </c>
    </row>
    <row r="91" spans="1:8" x14ac:dyDescent="0.2">
      <c r="A91" s="167" t="s">
        <v>234</v>
      </c>
      <c r="B91" s="168">
        <v>1000</v>
      </c>
      <c r="C91" s="183"/>
      <c r="D91" s="180"/>
      <c r="E91" s="168">
        <f t="shared" si="22"/>
        <v>1000</v>
      </c>
      <c r="F91" s="5">
        <f t="shared" si="23"/>
        <v>1</v>
      </c>
      <c r="G91" s="5">
        <f t="shared" si="11"/>
        <v>1</v>
      </c>
      <c r="H91" s="5">
        <f t="shared" si="24"/>
        <v>0</v>
      </c>
    </row>
    <row r="92" spans="1:8" x14ac:dyDescent="0.2">
      <c r="A92" s="167" t="s">
        <v>236</v>
      </c>
      <c r="B92" s="168">
        <v>1770</v>
      </c>
      <c r="C92" s="183"/>
      <c r="D92" s="180"/>
      <c r="E92" s="168">
        <f t="shared" si="22"/>
        <v>1770</v>
      </c>
      <c r="F92" s="5">
        <v>0</v>
      </c>
      <c r="G92" s="5">
        <f t="shared" si="11"/>
        <v>0</v>
      </c>
      <c r="H92" s="5">
        <f t="shared" si="24"/>
        <v>0</v>
      </c>
    </row>
    <row r="93" spans="1:8" x14ac:dyDescent="0.2">
      <c r="A93" s="167" t="s">
        <v>229</v>
      </c>
      <c r="B93" s="168">
        <v>43036</v>
      </c>
      <c r="C93" s="183">
        <v>8832.11</v>
      </c>
      <c r="D93" s="180">
        <v>48060.23</v>
      </c>
      <c r="E93" s="168">
        <f t="shared" si="22"/>
        <v>-5024.2300000000032</v>
      </c>
      <c r="F93" s="5">
        <f t="shared" si="23"/>
        <v>-0.11674481829166287</v>
      </c>
      <c r="G93" s="5">
        <f t="shared" si="11"/>
        <v>-0.11674481829166287</v>
      </c>
      <c r="H93" s="5">
        <f t="shared" si="24"/>
        <v>0</v>
      </c>
    </row>
    <row r="94" spans="1:8" x14ac:dyDescent="0.2">
      <c r="A94" s="167" t="s">
        <v>269</v>
      </c>
      <c r="B94" s="168">
        <v>502559</v>
      </c>
      <c r="C94" s="183"/>
      <c r="D94" s="180"/>
      <c r="E94" s="168">
        <f t="shared" si="22"/>
        <v>502559</v>
      </c>
      <c r="F94" s="5">
        <f t="shared" si="23"/>
        <v>1</v>
      </c>
      <c r="G94" s="5">
        <f t="shared" si="11"/>
        <v>1</v>
      </c>
      <c r="H94" s="5">
        <f t="shared" si="24"/>
        <v>0</v>
      </c>
    </row>
    <row r="95" spans="1:8" x14ac:dyDescent="0.2">
      <c r="A95" s="167" t="s">
        <v>312</v>
      </c>
      <c r="B95" s="168">
        <v>3000</v>
      </c>
      <c r="C95" s="183"/>
      <c r="D95" s="180"/>
      <c r="E95" s="168">
        <f t="shared" si="22"/>
        <v>3000</v>
      </c>
      <c r="F95" s="5">
        <f t="shared" si="23"/>
        <v>1</v>
      </c>
      <c r="G95" s="5">
        <f t="shared" si="11"/>
        <v>1</v>
      </c>
      <c r="H95" s="5">
        <f t="shared" si="24"/>
        <v>0</v>
      </c>
    </row>
    <row r="96" spans="1:8" x14ac:dyDescent="0.2">
      <c r="A96" s="167" t="s">
        <v>313</v>
      </c>
      <c r="B96" s="168">
        <f>14200+800</f>
        <v>15000</v>
      </c>
      <c r="C96" s="183">
        <v>4862.34</v>
      </c>
      <c r="D96" s="180">
        <v>17161.55</v>
      </c>
      <c r="E96" s="168">
        <f t="shared" si="22"/>
        <v>-2161.5499999999993</v>
      </c>
      <c r="F96" s="5">
        <f t="shared" si="23"/>
        <v>-0.14410333333333328</v>
      </c>
      <c r="G96" s="5">
        <f t="shared" si="11"/>
        <v>-0.14410333333333328</v>
      </c>
      <c r="H96" s="5">
        <f t="shared" si="24"/>
        <v>0</v>
      </c>
    </row>
    <row r="97" spans="1:8" x14ac:dyDescent="0.2">
      <c r="A97" s="167" t="s">
        <v>367</v>
      </c>
      <c r="B97" s="168">
        <v>0</v>
      </c>
      <c r="C97" s="183">
        <v>0</v>
      </c>
      <c r="D97" s="180">
        <v>919122.13</v>
      </c>
      <c r="E97" s="168">
        <f t="shared" si="22"/>
        <v>-919122.13</v>
      </c>
      <c r="F97" s="184">
        <v>0</v>
      </c>
      <c r="G97" s="5">
        <f t="shared" si="11"/>
        <v>0</v>
      </c>
      <c r="H97" s="5">
        <f t="shared" si="24"/>
        <v>0</v>
      </c>
    </row>
    <row r="98" spans="1:8" x14ac:dyDescent="0.2">
      <c r="A98" s="167" t="s">
        <v>368</v>
      </c>
      <c r="B98" s="168">
        <v>0</v>
      </c>
      <c r="C98" s="183"/>
      <c r="D98" s="180"/>
      <c r="E98" s="168">
        <f t="shared" si="22"/>
        <v>0</v>
      </c>
      <c r="F98" s="184">
        <v>0</v>
      </c>
      <c r="G98" s="5">
        <f t="shared" si="11"/>
        <v>0</v>
      </c>
      <c r="H98" s="5">
        <f t="shared" si="24"/>
        <v>0</v>
      </c>
    </row>
    <row r="99" spans="1:8" x14ac:dyDescent="0.2">
      <c r="A99" s="167" t="s">
        <v>369</v>
      </c>
      <c r="B99" s="168">
        <v>0</v>
      </c>
      <c r="C99" s="183"/>
      <c r="D99" s="180"/>
      <c r="E99" s="168">
        <f t="shared" si="22"/>
        <v>0</v>
      </c>
      <c r="F99" s="184">
        <v>0</v>
      </c>
      <c r="G99" s="5">
        <f t="shared" ref="G99" si="37">F99/1</f>
        <v>0</v>
      </c>
      <c r="H99" s="5">
        <f t="shared" ref="H99" si="38">G99-F99</f>
        <v>0</v>
      </c>
    </row>
    <row r="100" spans="1:8" x14ac:dyDescent="0.2">
      <c r="A100" s="167" t="s">
        <v>238</v>
      </c>
      <c r="B100" s="168">
        <v>24000</v>
      </c>
      <c r="C100" s="183">
        <v>10753.999999999998</v>
      </c>
      <c r="D100" s="180">
        <v>24629.119999999999</v>
      </c>
      <c r="E100" s="168">
        <f t="shared" si="22"/>
        <v>-629.11999999999898</v>
      </c>
      <c r="F100" s="5">
        <f t="shared" si="23"/>
        <v>-2.621333333333329E-2</v>
      </c>
      <c r="G100" s="5">
        <f t="shared" si="11"/>
        <v>-2.621333333333329E-2</v>
      </c>
      <c r="H100" s="5">
        <f t="shared" si="24"/>
        <v>0</v>
      </c>
    </row>
    <row r="101" spans="1:8" x14ac:dyDescent="0.2">
      <c r="A101" s="167" t="s">
        <v>360</v>
      </c>
      <c r="B101" s="168">
        <v>0</v>
      </c>
      <c r="C101" s="183"/>
      <c r="D101" s="180"/>
      <c r="E101" s="168">
        <f t="shared" si="22"/>
        <v>0</v>
      </c>
      <c r="F101" s="184">
        <v>0</v>
      </c>
      <c r="G101" s="5">
        <f t="shared" si="11"/>
        <v>0</v>
      </c>
      <c r="H101" s="5">
        <f t="shared" si="24"/>
        <v>0</v>
      </c>
    </row>
    <row r="102" spans="1:8" x14ac:dyDescent="0.2">
      <c r="A102" s="167" t="s">
        <v>231</v>
      </c>
      <c r="B102" s="168">
        <v>10000</v>
      </c>
      <c r="C102" s="183">
        <v>0</v>
      </c>
      <c r="D102" s="180">
        <v>2205</v>
      </c>
      <c r="E102" s="168">
        <f t="shared" si="22"/>
        <v>7795</v>
      </c>
      <c r="F102" s="5">
        <f t="shared" si="23"/>
        <v>0.77949999999999997</v>
      </c>
      <c r="G102" s="5">
        <f t="shared" si="11"/>
        <v>0.77949999999999997</v>
      </c>
      <c r="H102" s="5">
        <f t="shared" si="24"/>
        <v>0</v>
      </c>
    </row>
    <row r="103" spans="1:8" x14ac:dyDescent="0.2">
      <c r="A103" s="167" t="s">
        <v>293</v>
      </c>
      <c r="B103" s="168">
        <v>1250000</v>
      </c>
      <c r="C103" s="183">
        <v>0</v>
      </c>
      <c r="D103" s="180">
        <v>28750</v>
      </c>
      <c r="E103" s="168">
        <f t="shared" si="22"/>
        <v>1221250</v>
      </c>
      <c r="F103" s="5">
        <f t="shared" si="23"/>
        <v>0.97699999999999998</v>
      </c>
      <c r="G103" s="5">
        <f t="shared" si="11"/>
        <v>0.97699999999999998</v>
      </c>
      <c r="H103" s="5">
        <f t="shared" si="24"/>
        <v>0</v>
      </c>
    </row>
    <row r="104" spans="1:8" x14ac:dyDescent="0.2">
      <c r="A104" s="167" t="s">
        <v>243</v>
      </c>
      <c r="B104" s="168">
        <v>1000</v>
      </c>
      <c r="C104" s="183">
        <v>0</v>
      </c>
      <c r="D104" s="180">
        <v>-400</v>
      </c>
      <c r="E104" s="168">
        <f t="shared" si="22"/>
        <v>1400</v>
      </c>
      <c r="F104" s="5">
        <f t="shared" si="23"/>
        <v>1.4</v>
      </c>
      <c r="G104" s="5">
        <f t="shared" si="11"/>
        <v>1.4</v>
      </c>
      <c r="H104" s="5">
        <f t="shared" si="24"/>
        <v>0</v>
      </c>
    </row>
    <row r="105" spans="1:8" x14ac:dyDescent="0.2">
      <c r="A105" s="167" t="s">
        <v>265</v>
      </c>
      <c r="B105" s="168">
        <v>5108</v>
      </c>
      <c r="C105" s="183">
        <v>0</v>
      </c>
      <c r="D105" s="180">
        <v>4945</v>
      </c>
      <c r="E105" s="168">
        <f t="shared" si="22"/>
        <v>163</v>
      </c>
      <c r="F105" s="5">
        <f t="shared" si="23"/>
        <v>3.1910728269381364E-2</v>
      </c>
      <c r="G105" s="5">
        <f t="shared" si="11"/>
        <v>3.1910728269381364E-2</v>
      </c>
      <c r="H105" s="5">
        <f t="shared" si="24"/>
        <v>0</v>
      </c>
    </row>
    <row r="106" spans="1:8" x14ac:dyDescent="0.2">
      <c r="A106" s="167" t="s">
        <v>314</v>
      </c>
      <c r="B106" s="168">
        <v>39830</v>
      </c>
      <c r="C106" s="183">
        <v>10260</v>
      </c>
      <c r="D106" s="180">
        <v>33219</v>
      </c>
      <c r="E106" s="168">
        <f t="shared" si="22"/>
        <v>6611</v>
      </c>
      <c r="F106" s="5">
        <f t="shared" si="23"/>
        <v>0.16598041677127792</v>
      </c>
      <c r="G106" s="5">
        <f t="shared" si="11"/>
        <v>0.16598041677127792</v>
      </c>
      <c r="H106" s="5">
        <f t="shared" si="24"/>
        <v>0</v>
      </c>
    </row>
    <row r="107" spans="1:8" x14ac:dyDescent="0.2">
      <c r="A107" s="167" t="s">
        <v>218</v>
      </c>
      <c r="B107" s="168">
        <v>696636</v>
      </c>
      <c r="C107" s="183">
        <v>50823.869999999988</v>
      </c>
      <c r="D107" s="180">
        <v>267310.94</v>
      </c>
      <c r="E107" s="168">
        <f t="shared" si="22"/>
        <v>429325.06</v>
      </c>
      <c r="F107" s="5">
        <f t="shared" si="23"/>
        <v>0.61628319524113018</v>
      </c>
      <c r="G107" s="5">
        <f t="shared" si="11"/>
        <v>0.61628319524113018</v>
      </c>
      <c r="H107" s="5">
        <f t="shared" si="24"/>
        <v>0</v>
      </c>
    </row>
    <row r="108" spans="1:8" x14ac:dyDescent="0.2">
      <c r="A108" s="167" t="s">
        <v>217</v>
      </c>
      <c r="B108" s="168">
        <v>27340</v>
      </c>
      <c r="C108" s="183">
        <v>14138.359999999999</v>
      </c>
      <c r="D108" s="180">
        <v>23140.73</v>
      </c>
      <c r="E108" s="168">
        <f t="shared" si="22"/>
        <v>4199.2700000000004</v>
      </c>
      <c r="F108" s="5">
        <f t="shared" si="23"/>
        <v>0.1535943672275055</v>
      </c>
      <c r="G108" s="5">
        <f t="shared" si="11"/>
        <v>0.1535943672275055</v>
      </c>
      <c r="H108" s="5">
        <f t="shared" si="24"/>
        <v>0</v>
      </c>
    </row>
    <row r="109" spans="1:8" x14ac:dyDescent="0.2">
      <c r="A109" s="167" t="s">
        <v>141</v>
      </c>
      <c r="B109" s="168">
        <v>89000</v>
      </c>
      <c r="C109" s="183">
        <v>18560</v>
      </c>
      <c r="D109" s="180">
        <v>57867.81</v>
      </c>
      <c r="E109" s="168">
        <f t="shared" si="22"/>
        <v>31132.190000000002</v>
      </c>
      <c r="F109" s="5">
        <f t="shared" si="23"/>
        <v>0.34979988764044945</v>
      </c>
      <c r="G109" s="5">
        <f t="shared" si="11"/>
        <v>0.34979988764044945</v>
      </c>
      <c r="H109" s="5">
        <f t="shared" si="24"/>
        <v>0</v>
      </c>
    </row>
    <row r="110" spans="1:8" x14ac:dyDescent="0.2">
      <c r="A110" s="167" t="s">
        <v>364</v>
      </c>
      <c r="B110" s="168">
        <v>0</v>
      </c>
      <c r="C110" s="183">
        <v>0</v>
      </c>
      <c r="D110" s="180">
        <v>157696.64000000001</v>
      </c>
      <c r="E110" s="168">
        <f t="shared" ref="E110:E112" si="39">B110-D110</f>
        <v>-157696.64000000001</v>
      </c>
      <c r="F110" s="184">
        <v>0</v>
      </c>
      <c r="G110" s="5">
        <f t="shared" ref="G110:G112" si="40">F110/1</f>
        <v>0</v>
      </c>
      <c r="H110" s="5">
        <f t="shared" ref="H110:H112" si="41">G110-F110</f>
        <v>0</v>
      </c>
    </row>
    <row r="111" spans="1:8" x14ac:dyDescent="0.2">
      <c r="A111" s="167" t="s">
        <v>365</v>
      </c>
      <c r="B111" s="168">
        <v>0</v>
      </c>
      <c r="C111" s="183"/>
      <c r="D111" s="180"/>
      <c r="E111" s="168">
        <f t="shared" si="39"/>
        <v>0</v>
      </c>
      <c r="F111" s="184">
        <v>0</v>
      </c>
      <c r="G111" s="5">
        <f t="shared" si="40"/>
        <v>0</v>
      </c>
      <c r="H111" s="5">
        <f t="shared" si="41"/>
        <v>0</v>
      </c>
    </row>
    <row r="112" spans="1:8" x14ac:dyDescent="0.2">
      <c r="A112" s="167" t="s">
        <v>366</v>
      </c>
      <c r="B112" s="168">
        <v>0</v>
      </c>
      <c r="C112" s="183"/>
      <c r="D112" s="180"/>
      <c r="E112" s="168">
        <f t="shared" si="39"/>
        <v>0</v>
      </c>
      <c r="F112" s="184">
        <v>0</v>
      </c>
      <c r="G112" s="5">
        <f t="shared" si="40"/>
        <v>0</v>
      </c>
      <c r="H112" s="5">
        <f t="shared" si="41"/>
        <v>0</v>
      </c>
    </row>
    <row r="113" spans="1:8" x14ac:dyDescent="0.2">
      <c r="A113" s="167" t="s">
        <v>315</v>
      </c>
      <c r="B113" s="168">
        <f>137000+800</f>
        <v>137800</v>
      </c>
      <c r="C113" s="183">
        <v>7350.82</v>
      </c>
      <c r="D113" s="180">
        <v>180151.09999999998</v>
      </c>
      <c r="E113" s="168">
        <f t="shared" si="22"/>
        <v>-42351.099999999977</v>
      </c>
      <c r="F113" s="5">
        <f t="shared" si="23"/>
        <v>-0.30733744557329445</v>
      </c>
      <c r="G113" s="5">
        <f t="shared" ref="G113:G171" si="42">F113/1</f>
        <v>-0.30733744557329445</v>
      </c>
      <c r="H113" s="5">
        <f t="shared" si="24"/>
        <v>0</v>
      </c>
    </row>
    <row r="114" spans="1:8" x14ac:dyDescent="0.2">
      <c r="A114" s="167" t="s">
        <v>316</v>
      </c>
      <c r="B114" s="168">
        <v>25800</v>
      </c>
      <c r="C114" s="183">
        <v>15327.41</v>
      </c>
      <c r="D114" s="180">
        <v>35393.800000000003</v>
      </c>
      <c r="E114" s="168">
        <f t="shared" si="22"/>
        <v>-9593.8000000000029</v>
      </c>
      <c r="F114" s="5">
        <f t="shared" si="23"/>
        <v>-0.37185271317829471</v>
      </c>
      <c r="G114" s="5">
        <f t="shared" si="42"/>
        <v>-0.37185271317829471</v>
      </c>
      <c r="H114" s="5">
        <f t="shared" si="24"/>
        <v>0</v>
      </c>
    </row>
    <row r="115" spans="1:8" x14ac:dyDescent="0.2">
      <c r="A115" s="167" t="s">
        <v>203</v>
      </c>
      <c r="B115" s="168">
        <v>93600</v>
      </c>
      <c r="C115" s="183">
        <v>24232.11</v>
      </c>
      <c r="D115" s="180">
        <v>80184.78</v>
      </c>
      <c r="E115" s="168">
        <f t="shared" si="22"/>
        <v>13415.220000000001</v>
      </c>
      <c r="F115" s="5">
        <f t="shared" si="23"/>
        <v>0.14332500000000001</v>
      </c>
      <c r="G115" s="5">
        <f t="shared" si="42"/>
        <v>0.14332500000000001</v>
      </c>
      <c r="H115" s="5">
        <f t="shared" si="24"/>
        <v>0</v>
      </c>
    </row>
    <row r="116" spans="1:8" x14ac:dyDescent="0.2">
      <c r="A116" s="167" t="s">
        <v>292</v>
      </c>
      <c r="B116" s="168">
        <v>8500</v>
      </c>
      <c r="C116" s="183">
        <v>0</v>
      </c>
      <c r="D116" s="180">
        <v>225</v>
      </c>
      <c r="E116" s="168">
        <f t="shared" si="22"/>
        <v>8275</v>
      </c>
      <c r="F116" s="5">
        <f t="shared" si="23"/>
        <v>0.97352941176470587</v>
      </c>
      <c r="G116" s="5">
        <f t="shared" si="42"/>
        <v>0.97352941176470587</v>
      </c>
      <c r="H116" s="5">
        <f t="shared" si="24"/>
        <v>0</v>
      </c>
    </row>
    <row r="117" spans="1:8" x14ac:dyDescent="0.2">
      <c r="A117" s="167" t="s">
        <v>383</v>
      </c>
      <c r="B117" s="168">
        <v>0</v>
      </c>
      <c r="C117" s="183">
        <v>21246</v>
      </c>
      <c r="D117" s="180">
        <v>21246</v>
      </c>
      <c r="E117" s="168">
        <f t="shared" si="22"/>
        <v>-21246</v>
      </c>
      <c r="F117" s="184">
        <v>0</v>
      </c>
      <c r="G117" s="5">
        <f t="shared" si="42"/>
        <v>0</v>
      </c>
      <c r="H117" s="5">
        <f t="shared" si="24"/>
        <v>0</v>
      </c>
    </row>
    <row r="118" spans="1:8" x14ac:dyDescent="0.2">
      <c r="A118" s="167" t="s">
        <v>220</v>
      </c>
      <c r="B118" s="168">
        <v>6050</v>
      </c>
      <c r="C118" s="183">
        <v>3829.190000000001</v>
      </c>
      <c r="D118" s="180">
        <v>15753.49</v>
      </c>
      <c r="E118" s="168">
        <f t="shared" si="22"/>
        <v>-9703.49</v>
      </c>
      <c r="F118" s="5">
        <f t="shared" si="23"/>
        <v>-1.6038826446280992</v>
      </c>
      <c r="G118" s="5">
        <f t="shared" si="42"/>
        <v>-1.6038826446280992</v>
      </c>
      <c r="H118" s="5">
        <f t="shared" si="24"/>
        <v>0</v>
      </c>
    </row>
    <row r="119" spans="1:8" x14ac:dyDescent="0.2">
      <c r="A119" s="167" t="s">
        <v>179</v>
      </c>
      <c r="B119" s="168">
        <v>57000</v>
      </c>
      <c r="C119" s="183">
        <v>31317.09</v>
      </c>
      <c r="D119" s="180">
        <v>67478.569999999992</v>
      </c>
      <c r="E119" s="168">
        <f t="shared" si="22"/>
        <v>-10478.569999999992</v>
      </c>
      <c r="F119" s="5">
        <f t="shared" si="23"/>
        <v>-0.18383456140350865</v>
      </c>
      <c r="G119" s="5">
        <f t="shared" si="42"/>
        <v>-0.18383456140350865</v>
      </c>
      <c r="H119" s="5">
        <f t="shared" si="24"/>
        <v>0</v>
      </c>
    </row>
    <row r="120" spans="1:8" x14ac:dyDescent="0.2">
      <c r="A120" s="167" t="s">
        <v>361</v>
      </c>
      <c r="B120" s="168">
        <v>0</v>
      </c>
      <c r="C120" s="183">
        <v>12500</v>
      </c>
      <c r="D120" s="180">
        <v>37500</v>
      </c>
      <c r="E120" s="168">
        <f t="shared" ref="E120" si="43">B120-D120</f>
        <v>-37500</v>
      </c>
      <c r="F120" s="184">
        <v>0</v>
      </c>
      <c r="G120" s="5">
        <f t="shared" ref="G120" si="44">F120/1</f>
        <v>0</v>
      </c>
      <c r="H120" s="5">
        <f t="shared" ref="H120" si="45">G120-F120</f>
        <v>0</v>
      </c>
    </row>
    <row r="121" spans="1:8" x14ac:dyDescent="0.2">
      <c r="A121" s="167" t="s">
        <v>219</v>
      </c>
      <c r="B121" s="168">
        <v>3520</v>
      </c>
      <c r="C121" s="183">
        <v>566.8299999999997</v>
      </c>
      <c r="D121" s="180">
        <v>6158.9299999999994</v>
      </c>
      <c r="E121" s="168">
        <f t="shared" si="22"/>
        <v>-2638.9299999999994</v>
      </c>
      <c r="F121" s="5">
        <f t="shared" si="23"/>
        <v>-0.74969602272727254</v>
      </c>
      <c r="G121" s="5">
        <f t="shared" si="42"/>
        <v>-0.74969602272727254</v>
      </c>
      <c r="H121" s="5">
        <f t="shared" si="24"/>
        <v>0</v>
      </c>
    </row>
    <row r="122" spans="1:8" x14ac:dyDescent="0.2">
      <c r="A122" s="167" t="s">
        <v>261</v>
      </c>
      <c r="B122" s="168">
        <v>3500</v>
      </c>
      <c r="C122" s="183"/>
      <c r="D122" s="180"/>
      <c r="E122" s="168">
        <f t="shared" si="22"/>
        <v>3500</v>
      </c>
      <c r="F122" s="5">
        <f t="shared" si="23"/>
        <v>1</v>
      </c>
      <c r="G122" s="5">
        <f t="shared" si="42"/>
        <v>1</v>
      </c>
      <c r="H122" s="5">
        <f t="shared" si="24"/>
        <v>0</v>
      </c>
    </row>
    <row r="123" spans="1:8" x14ac:dyDescent="0.2">
      <c r="A123" s="167" t="s">
        <v>246</v>
      </c>
      <c r="B123" s="168">
        <v>141850</v>
      </c>
      <c r="C123" s="183">
        <v>41407.579999999987</v>
      </c>
      <c r="D123" s="180">
        <v>132650.77000000002</v>
      </c>
      <c r="E123" s="168">
        <f t="shared" si="22"/>
        <v>9199.2299999999814</v>
      </c>
      <c r="F123" s="5">
        <f t="shared" si="23"/>
        <v>6.485181529784971E-2</v>
      </c>
      <c r="G123" s="5">
        <f t="shared" si="42"/>
        <v>6.485181529784971E-2</v>
      </c>
      <c r="H123" s="5">
        <f t="shared" si="24"/>
        <v>0</v>
      </c>
    </row>
    <row r="124" spans="1:8" x14ac:dyDescent="0.2">
      <c r="A124" s="167" t="s">
        <v>196</v>
      </c>
      <c r="B124" s="168">
        <v>4223719</v>
      </c>
      <c r="C124" s="183">
        <v>1353028.7299999997</v>
      </c>
      <c r="D124" s="180">
        <v>4002469.9200000004</v>
      </c>
      <c r="E124" s="168">
        <f t="shared" si="22"/>
        <v>221249.07999999961</v>
      </c>
      <c r="F124" s="5">
        <f t="shared" si="23"/>
        <v>5.2382528288458491E-2</v>
      </c>
      <c r="G124" s="5">
        <f t="shared" si="42"/>
        <v>5.2382528288458491E-2</v>
      </c>
      <c r="H124" s="5">
        <f t="shared" si="24"/>
        <v>0</v>
      </c>
    </row>
    <row r="125" spans="1:8" x14ac:dyDescent="0.2">
      <c r="A125" s="167" t="s">
        <v>254</v>
      </c>
      <c r="B125" s="168">
        <v>218940</v>
      </c>
      <c r="C125" s="183">
        <v>61884.740000000005</v>
      </c>
      <c r="D125" s="180">
        <v>128847.01999999999</v>
      </c>
      <c r="E125" s="168">
        <f t="shared" si="22"/>
        <v>90092.98000000001</v>
      </c>
      <c r="F125" s="5">
        <f t="shared" si="23"/>
        <v>0.41149620900703393</v>
      </c>
      <c r="G125" s="5">
        <f t="shared" si="42"/>
        <v>0.41149620900703393</v>
      </c>
      <c r="H125" s="5">
        <f t="shared" si="24"/>
        <v>0</v>
      </c>
    </row>
    <row r="126" spans="1:8" x14ac:dyDescent="0.2">
      <c r="A126" s="167" t="s">
        <v>202</v>
      </c>
      <c r="B126" s="168">
        <v>6000</v>
      </c>
      <c r="C126" s="183">
        <v>416.73</v>
      </c>
      <c r="D126" s="180">
        <v>423.22</v>
      </c>
      <c r="E126" s="168">
        <f t="shared" si="22"/>
        <v>5576.78</v>
      </c>
      <c r="F126" s="5">
        <f t="shared" si="23"/>
        <v>0.92946333333333331</v>
      </c>
      <c r="G126" s="5">
        <f t="shared" si="42"/>
        <v>0.92946333333333331</v>
      </c>
      <c r="H126" s="5">
        <f t="shared" si="24"/>
        <v>0</v>
      </c>
    </row>
    <row r="127" spans="1:8" x14ac:dyDescent="0.2">
      <c r="A127" s="167" t="s">
        <v>373</v>
      </c>
      <c r="B127" s="168">
        <v>0</v>
      </c>
      <c r="C127" s="183">
        <v>0</v>
      </c>
      <c r="D127" s="180">
        <v>-850</v>
      </c>
      <c r="E127" s="168">
        <f t="shared" si="22"/>
        <v>850</v>
      </c>
      <c r="F127" s="184">
        <v>0</v>
      </c>
      <c r="G127" s="5">
        <f t="shared" si="42"/>
        <v>0</v>
      </c>
      <c r="H127" s="5">
        <f t="shared" si="24"/>
        <v>0</v>
      </c>
    </row>
    <row r="128" spans="1:8" x14ac:dyDescent="0.2">
      <c r="A128" s="167" t="s">
        <v>317</v>
      </c>
      <c r="B128" s="168">
        <v>1301063</v>
      </c>
      <c r="C128" s="183">
        <v>237005.77000000002</v>
      </c>
      <c r="D128" s="180">
        <v>818544.72</v>
      </c>
      <c r="E128" s="168">
        <f t="shared" si="22"/>
        <v>482518.28</v>
      </c>
      <c r="F128" s="5">
        <f t="shared" si="23"/>
        <v>0.37086465451711409</v>
      </c>
      <c r="G128" s="5">
        <f t="shared" si="42"/>
        <v>0.37086465451711409</v>
      </c>
      <c r="H128" s="5">
        <f t="shared" si="24"/>
        <v>0</v>
      </c>
    </row>
    <row r="129" spans="1:8" x14ac:dyDescent="0.2">
      <c r="A129" s="167" t="s">
        <v>362</v>
      </c>
      <c r="B129" s="168">
        <v>0</v>
      </c>
      <c r="C129" s="183"/>
      <c r="D129" s="180"/>
      <c r="E129" s="168">
        <f t="shared" ref="E129:E130" si="46">B129-D129</f>
        <v>0</v>
      </c>
      <c r="F129" s="184">
        <v>0</v>
      </c>
      <c r="G129" s="5">
        <f t="shared" ref="G129:G130" si="47">F129/1</f>
        <v>0</v>
      </c>
      <c r="H129" s="5">
        <f t="shared" ref="H129:H130" si="48">G129-F129</f>
        <v>0</v>
      </c>
    </row>
    <row r="130" spans="1:8" x14ac:dyDescent="0.2">
      <c r="A130" s="167" t="s">
        <v>363</v>
      </c>
      <c r="B130" s="168">
        <v>0</v>
      </c>
      <c r="C130" s="183"/>
      <c r="D130" s="180"/>
      <c r="E130" s="168">
        <f t="shared" si="46"/>
        <v>0</v>
      </c>
      <c r="F130" s="184">
        <v>0</v>
      </c>
      <c r="G130" s="5">
        <f t="shared" si="47"/>
        <v>0</v>
      </c>
      <c r="H130" s="5">
        <f t="shared" si="48"/>
        <v>0</v>
      </c>
    </row>
    <row r="131" spans="1:8" x14ac:dyDescent="0.2">
      <c r="A131" s="167" t="s">
        <v>210</v>
      </c>
      <c r="B131" s="168">
        <v>8030</v>
      </c>
      <c r="C131" s="183">
        <v>2528</v>
      </c>
      <c r="D131" s="180">
        <v>11802.98</v>
      </c>
      <c r="E131" s="168">
        <f t="shared" si="22"/>
        <v>-3772.9799999999996</v>
      </c>
      <c r="F131" s="5">
        <f t="shared" si="23"/>
        <v>-0.46986052303860515</v>
      </c>
      <c r="G131" s="5">
        <f t="shared" si="42"/>
        <v>-0.46986052303860515</v>
      </c>
      <c r="H131" s="5">
        <f t="shared" si="24"/>
        <v>0</v>
      </c>
    </row>
    <row r="132" spans="1:8" x14ac:dyDescent="0.2">
      <c r="A132" s="167" t="s">
        <v>212</v>
      </c>
      <c r="B132" s="168">
        <v>4207248</v>
      </c>
      <c r="C132" s="183">
        <v>683965.10999999987</v>
      </c>
      <c r="D132" s="180">
        <v>2803449.61</v>
      </c>
      <c r="E132" s="168">
        <f t="shared" si="22"/>
        <v>1403798.3900000001</v>
      </c>
      <c r="F132" s="5">
        <f t="shared" si="23"/>
        <v>0.3336619067856233</v>
      </c>
      <c r="G132" s="5">
        <f t="shared" si="42"/>
        <v>0.3336619067856233</v>
      </c>
      <c r="H132" s="5">
        <f t="shared" si="24"/>
        <v>0</v>
      </c>
    </row>
    <row r="133" spans="1:8" x14ac:dyDescent="0.2">
      <c r="A133" s="167" t="s">
        <v>197</v>
      </c>
      <c r="B133" s="168">
        <v>171081</v>
      </c>
      <c r="C133" s="183">
        <v>25746.25</v>
      </c>
      <c r="D133" s="180">
        <v>98714.809999999983</v>
      </c>
      <c r="E133" s="168">
        <f t="shared" si="22"/>
        <v>72366.190000000017</v>
      </c>
      <c r="F133" s="5">
        <f t="shared" si="23"/>
        <v>0.42299372811709085</v>
      </c>
      <c r="G133" s="5">
        <f t="shared" si="42"/>
        <v>0.42299372811709085</v>
      </c>
      <c r="H133" s="5">
        <f t="shared" si="24"/>
        <v>0</v>
      </c>
    </row>
    <row r="134" spans="1:8" x14ac:dyDescent="0.2">
      <c r="A134" s="167" t="s">
        <v>318</v>
      </c>
      <c r="B134" s="168">
        <f>11000+40275</f>
        <v>51275</v>
      </c>
      <c r="C134" s="183">
        <v>13006.619999999999</v>
      </c>
      <c r="D134" s="180">
        <v>32325.77</v>
      </c>
      <c r="E134" s="168">
        <f t="shared" si="22"/>
        <v>18949.23</v>
      </c>
      <c r="F134" s="5">
        <f t="shared" si="23"/>
        <v>0.36956079960994637</v>
      </c>
      <c r="G134" s="5">
        <f t="shared" si="42"/>
        <v>0.36956079960994637</v>
      </c>
      <c r="H134" s="5">
        <f t="shared" si="24"/>
        <v>0</v>
      </c>
    </row>
    <row r="135" spans="1:8" x14ac:dyDescent="0.2">
      <c r="A135" s="167" t="s">
        <v>215</v>
      </c>
      <c r="B135" s="168">
        <v>10895</v>
      </c>
      <c r="C135" s="183">
        <v>3114.75</v>
      </c>
      <c r="D135" s="180">
        <v>11666.75</v>
      </c>
      <c r="E135" s="168">
        <f t="shared" si="22"/>
        <v>-771.75</v>
      </c>
      <c r="F135" s="5">
        <f t="shared" si="23"/>
        <v>-7.0835245525470394E-2</v>
      </c>
      <c r="G135" s="5">
        <f t="shared" si="42"/>
        <v>-7.0835245525470394E-2</v>
      </c>
      <c r="H135" s="5">
        <f t="shared" si="24"/>
        <v>0</v>
      </c>
    </row>
    <row r="136" spans="1:8" x14ac:dyDescent="0.2">
      <c r="A136" s="167" t="s">
        <v>239</v>
      </c>
      <c r="B136" s="168">
        <v>500</v>
      </c>
      <c r="C136" s="183"/>
      <c r="D136" s="180"/>
      <c r="E136" s="168">
        <f t="shared" si="22"/>
        <v>500</v>
      </c>
      <c r="F136" s="5">
        <f t="shared" si="23"/>
        <v>1</v>
      </c>
      <c r="G136" s="5">
        <f t="shared" si="42"/>
        <v>1</v>
      </c>
      <c r="H136" s="5">
        <f t="shared" si="24"/>
        <v>0</v>
      </c>
    </row>
    <row r="137" spans="1:8" x14ac:dyDescent="0.2">
      <c r="A137" s="167" t="s">
        <v>221</v>
      </c>
      <c r="B137" s="168">
        <v>2642</v>
      </c>
      <c r="C137" s="183">
        <v>2723.4399999999996</v>
      </c>
      <c r="D137" s="180">
        <v>8394.9500000000007</v>
      </c>
      <c r="E137" s="168">
        <f t="shared" si="22"/>
        <v>-5752.9500000000007</v>
      </c>
      <c r="F137" s="5">
        <f t="shared" si="23"/>
        <v>-2.1774981074943227</v>
      </c>
      <c r="G137" s="5">
        <f t="shared" si="42"/>
        <v>-2.1774981074943227</v>
      </c>
      <c r="H137" s="5">
        <f t="shared" si="24"/>
        <v>0</v>
      </c>
    </row>
    <row r="138" spans="1:8" x14ac:dyDescent="0.2">
      <c r="A138" s="167" t="s">
        <v>249</v>
      </c>
      <c r="B138" s="168">
        <v>15000</v>
      </c>
      <c r="C138" s="183">
        <v>2339.2499999999991</v>
      </c>
      <c r="D138" s="180">
        <v>9978.7199999999993</v>
      </c>
      <c r="E138" s="168">
        <f t="shared" si="22"/>
        <v>5021.2800000000007</v>
      </c>
      <c r="F138" s="5">
        <f t="shared" si="23"/>
        <v>0.33475200000000005</v>
      </c>
      <c r="G138" s="5">
        <f t="shared" si="42"/>
        <v>0.33475200000000005</v>
      </c>
      <c r="H138" s="5">
        <f t="shared" si="24"/>
        <v>0</v>
      </c>
    </row>
    <row r="139" spans="1:8" x14ac:dyDescent="0.2">
      <c r="A139" s="167" t="s">
        <v>290</v>
      </c>
      <c r="B139" s="168">
        <v>132200</v>
      </c>
      <c r="C139" s="183">
        <v>55635.160000000011</v>
      </c>
      <c r="D139" s="180">
        <v>140335.58000000002</v>
      </c>
      <c r="E139" s="168">
        <f t="shared" si="22"/>
        <v>-8135.5800000000163</v>
      </c>
      <c r="F139" s="5">
        <v>0</v>
      </c>
      <c r="G139" s="5">
        <f t="shared" si="42"/>
        <v>0</v>
      </c>
      <c r="H139" s="5">
        <f t="shared" si="24"/>
        <v>0</v>
      </c>
    </row>
    <row r="140" spans="1:8" x14ac:dyDescent="0.2">
      <c r="A140" s="167" t="s">
        <v>291</v>
      </c>
      <c r="B140" s="168">
        <v>100000</v>
      </c>
      <c r="C140" s="183">
        <v>0</v>
      </c>
      <c r="D140" s="180">
        <v>21650</v>
      </c>
      <c r="E140" s="168">
        <f t="shared" si="22"/>
        <v>78350</v>
      </c>
      <c r="F140" s="5">
        <f t="shared" si="23"/>
        <v>0.78349999999999997</v>
      </c>
      <c r="G140" s="5">
        <f t="shared" si="42"/>
        <v>0.78349999999999997</v>
      </c>
      <c r="H140" s="5">
        <f t="shared" si="24"/>
        <v>0</v>
      </c>
    </row>
    <row r="141" spans="1:8" x14ac:dyDescent="0.2">
      <c r="A141" s="167" t="s">
        <v>207</v>
      </c>
      <c r="B141" s="168">
        <v>76530</v>
      </c>
      <c r="C141" s="183">
        <v>2523.2599999999979</v>
      </c>
      <c r="D141" s="180">
        <v>21676.43</v>
      </c>
      <c r="E141" s="168">
        <f t="shared" si="22"/>
        <v>54853.57</v>
      </c>
      <c r="F141" s="5">
        <f t="shared" si="23"/>
        <v>0.7167590487390566</v>
      </c>
      <c r="G141" s="5">
        <f t="shared" si="42"/>
        <v>0.7167590487390566</v>
      </c>
      <c r="H141" s="5">
        <f t="shared" si="24"/>
        <v>0</v>
      </c>
    </row>
    <row r="142" spans="1:8" x14ac:dyDescent="0.2">
      <c r="A142" s="167" t="s">
        <v>208</v>
      </c>
      <c r="B142" s="168">
        <v>40000</v>
      </c>
      <c r="C142" s="183">
        <v>12395.599999999999</v>
      </c>
      <c r="D142" s="180">
        <v>41450.89</v>
      </c>
      <c r="E142" s="168">
        <f t="shared" si="22"/>
        <v>-1450.8899999999994</v>
      </c>
      <c r="F142" s="5">
        <f t="shared" si="23"/>
        <v>-3.6272249999999985E-2</v>
      </c>
      <c r="G142" s="5">
        <f t="shared" si="42"/>
        <v>-3.6272249999999985E-2</v>
      </c>
      <c r="H142" s="5">
        <f t="shared" si="24"/>
        <v>0</v>
      </c>
    </row>
    <row r="143" spans="1:8" x14ac:dyDescent="0.2">
      <c r="A143" s="167" t="s">
        <v>206</v>
      </c>
      <c r="B143" s="168">
        <v>13000</v>
      </c>
      <c r="C143" s="183">
        <v>162404.08000000002</v>
      </c>
      <c r="D143" s="180">
        <v>251179.17</v>
      </c>
      <c r="E143" s="168">
        <f t="shared" si="22"/>
        <v>-238179.17</v>
      </c>
      <c r="F143" s="5">
        <f t="shared" si="23"/>
        <v>-18.321474615384616</v>
      </c>
      <c r="G143" s="5">
        <f t="shared" si="42"/>
        <v>-18.321474615384616</v>
      </c>
      <c r="H143" s="5">
        <f t="shared" si="24"/>
        <v>0</v>
      </c>
    </row>
    <row r="144" spans="1:8" x14ac:dyDescent="0.2">
      <c r="A144" s="167" t="s">
        <v>205</v>
      </c>
      <c r="B144" s="168">
        <v>370150</v>
      </c>
      <c r="C144" s="183">
        <v>168367.89999999994</v>
      </c>
      <c r="D144" s="180">
        <v>575714.41000000015</v>
      </c>
      <c r="E144" s="168">
        <f t="shared" si="22"/>
        <v>-205564.41000000015</v>
      </c>
      <c r="F144" s="5">
        <f t="shared" si="23"/>
        <v>-0.55535434283398666</v>
      </c>
      <c r="G144" s="5">
        <f t="shared" si="42"/>
        <v>-0.55535434283398666</v>
      </c>
      <c r="H144" s="5">
        <f t="shared" si="24"/>
        <v>0</v>
      </c>
    </row>
    <row r="145" spans="1:8" x14ac:dyDescent="0.2">
      <c r="A145" s="167" t="s">
        <v>209</v>
      </c>
      <c r="B145" s="168">
        <v>15000</v>
      </c>
      <c r="C145" s="183"/>
      <c r="D145" s="180"/>
      <c r="E145" s="168">
        <f t="shared" si="22"/>
        <v>15000</v>
      </c>
      <c r="F145" s="5">
        <f t="shared" si="23"/>
        <v>1</v>
      </c>
      <c r="G145" s="5">
        <f t="shared" si="42"/>
        <v>1</v>
      </c>
      <c r="H145" s="5">
        <f t="shared" si="24"/>
        <v>0</v>
      </c>
    </row>
    <row r="146" spans="1:8" x14ac:dyDescent="0.2">
      <c r="A146" s="167" t="s">
        <v>319</v>
      </c>
      <c r="B146" s="168">
        <v>50000</v>
      </c>
      <c r="C146" s="183">
        <v>0</v>
      </c>
      <c r="D146" s="180">
        <v>40876.76</v>
      </c>
      <c r="E146" s="168">
        <f t="shared" si="22"/>
        <v>9123.239999999998</v>
      </c>
      <c r="F146" s="5">
        <f t="shared" si="23"/>
        <v>0.18246479999999995</v>
      </c>
      <c r="G146" s="5">
        <f t="shared" si="42"/>
        <v>0.18246479999999995</v>
      </c>
      <c r="H146" s="5">
        <f t="shared" si="24"/>
        <v>0</v>
      </c>
    </row>
    <row r="147" spans="1:8" x14ac:dyDescent="0.2">
      <c r="A147" s="167" t="s">
        <v>267</v>
      </c>
      <c r="B147" s="168">
        <v>1500</v>
      </c>
      <c r="C147" s="183"/>
      <c r="D147" s="180"/>
      <c r="E147" s="168">
        <f t="shared" si="22"/>
        <v>1500</v>
      </c>
      <c r="F147" s="5">
        <f t="shared" si="23"/>
        <v>1</v>
      </c>
      <c r="G147" s="5">
        <f t="shared" si="42"/>
        <v>1</v>
      </c>
      <c r="H147" s="5">
        <f t="shared" si="24"/>
        <v>0</v>
      </c>
    </row>
    <row r="148" spans="1:8" x14ac:dyDescent="0.2">
      <c r="A148" s="167" t="s">
        <v>258</v>
      </c>
      <c r="B148" s="168">
        <v>4000000</v>
      </c>
      <c r="C148" s="183">
        <v>744500</v>
      </c>
      <c r="D148" s="180">
        <v>2621668</v>
      </c>
      <c r="E148" s="168">
        <f t="shared" si="22"/>
        <v>1378332</v>
      </c>
      <c r="F148" s="5">
        <f t="shared" si="23"/>
        <v>0.34458299999999997</v>
      </c>
      <c r="G148" s="5">
        <f t="shared" si="42"/>
        <v>0.34458299999999997</v>
      </c>
      <c r="H148" s="5">
        <f t="shared" si="24"/>
        <v>0</v>
      </c>
    </row>
    <row r="149" spans="1:8" x14ac:dyDescent="0.2">
      <c r="A149" s="167" t="s">
        <v>199</v>
      </c>
      <c r="B149" s="168">
        <v>77000</v>
      </c>
      <c r="C149" s="183">
        <v>14925.279999999999</v>
      </c>
      <c r="D149" s="180">
        <v>49799.07</v>
      </c>
      <c r="E149" s="168">
        <f t="shared" si="22"/>
        <v>27200.93</v>
      </c>
      <c r="F149" s="5">
        <f t="shared" si="23"/>
        <v>0.35325883116883117</v>
      </c>
      <c r="G149" s="5">
        <f t="shared" si="42"/>
        <v>0.35325883116883117</v>
      </c>
      <c r="H149" s="5">
        <f t="shared" si="24"/>
        <v>0</v>
      </c>
    </row>
    <row r="150" spans="1:8" x14ac:dyDescent="0.2">
      <c r="A150" s="167" t="s">
        <v>245</v>
      </c>
      <c r="B150" s="168">
        <v>35500</v>
      </c>
      <c r="C150" s="183">
        <v>3816.5799999999981</v>
      </c>
      <c r="D150" s="180">
        <v>21820.01</v>
      </c>
      <c r="E150" s="168">
        <f t="shared" si="22"/>
        <v>13679.990000000002</v>
      </c>
      <c r="F150" s="5">
        <f t="shared" si="23"/>
        <v>0.38535183098591552</v>
      </c>
      <c r="G150" s="5">
        <f t="shared" si="42"/>
        <v>0.38535183098591552</v>
      </c>
      <c r="H150" s="5">
        <f t="shared" si="24"/>
        <v>0</v>
      </c>
    </row>
    <row r="151" spans="1:8" ht="12.6" customHeight="1" x14ac:dyDescent="0.2">
      <c r="A151" s="167" t="s">
        <v>370</v>
      </c>
      <c r="B151" s="168">
        <v>0</v>
      </c>
      <c r="C151" s="183">
        <v>0</v>
      </c>
      <c r="D151" s="180">
        <v>-1.4900000000000659</v>
      </c>
      <c r="E151" s="168">
        <f t="shared" si="22"/>
        <v>1.4900000000000659</v>
      </c>
      <c r="F151" s="184">
        <v>0</v>
      </c>
      <c r="G151" s="5">
        <f t="shared" si="42"/>
        <v>0</v>
      </c>
      <c r="H151" s="5">
        <f t="shared" si="24"/>
        <v>0</v>
      </c>
    </row>
    <row r="152" spans="1:8" ht="12.6" customHeight="1" x14ac:dyDescent="0.2">
      <c r="A152" s="167" t="s">
        <v>371</v>
      </c>
      <c r="B152" s="168">
        <v>0</v>
      </c>
      <c r="C152" s="183">
        <v>73856</v>
      </c>
      <c r="D152" s="180">
        <v>340797.28</v>
      </c>
      <c r="E152" s="168">
        <f t="shared" si="22"/>
        <v>-340797.28</v>
      </c>
      <c r="F152" s="184">
        <v>0</v>
      </c>
      <c r="G152" s="5">
        <f t="shared" si="42"/>
        <v>0</v>
      </c>
      <c r="H152" s="5">
        <f t="shared" si="24"/>
        <v>0</v>
      </c>
    </row>
    <row r="153" spans="1:8" x14ac:dyDescent="0.2">
      <c r="A153" s="167" t="s">
        <v>216</v>
      </c>
      <c r="B153" s="168">
        <v>2550</v>
      </c>
      <c r="C153" s="183">
        <v>0</v>
      </c>
      <c r="D153" s="180">
        <v>1911</v>
      </c>
      <c r="E153" s="168">
        <f t="shared" si="22"/>
        <v>639</v>
      </c>
      <c r="F153" s="5">
        <f t="shared" si="23"/>
        <v>0.25058823529411767</v>
      </c>
      <c r="G153" s="5">
        <f t="shared" si="42"/>
        <v>0.25058823529411767</v>
      </c>
      <c r="H153" s="5">
        <f t="shared" si="24"/>
        <v>0</v>
      </c>
    </row>
    <row r="154" spans="1:8" x14ac:dyDescent="0.2">
      <c r="A154" s="167" t="s">
        <v>226</v>
      </c>
      <c r="B154" s="168">
        <v>850657</v>
      </c>
      <c r="C154" s="183">
        <v>50900.84</v>
      </c>
      <c r="D154" s="180">
        <v>189329.38</v>
      </c>
      <c r="E154" s="168">
        <f t="shared" si="22"/>
        <v>661327.62</v>
      </c>
      <c r="F154" s="5">
        <f t="shared" si="23"/>
        <v>0.77743158523353129</v>
      </c>
      <c r="G154" s="5">
        <f t="shared" si="42"/>
        <v>0.77743158523353129</v>
      </c>
      <c r="H154" s="5">
        <f t="shared" si="24"/>
        <v>0</v>
      </c>
    </row>
    <row r="155" spans="1:8" x14ac:dyDescent="0.2">
      <c r="A155" s="167" t="s">
        <v>225</v>
      </c>
      <c r="B155" s="168">
        <v>1000</v>
      </c>
      <c r="C155" s="183">
        <v>-1723.69</v>
      </c>
      <c r="D155" s="180">
        <v>-2300.96</v>
      </c>
      <c r="E155" s="168">
        <f t="shared" si="22"/>
        <v>3300.96</v>
      </c>
      <c r="F155" s="5">
        <f t="shared" si="23"/>
        <v>3.3009599999999999</v>
      </c>
      <c r="G155" s="5">
        <f t="shared" si="42"/>
        <v>3.3009599999999999</v>
      </c>
      <c r="H155" s="5">
        <f t="shared" si="24"/>
        <v>0</v>
      </c>
    </row>
    <row r="156" spans="1:8" x14ac:dyDescent="0.2">
      <c r="A156" s="167" t="s">
        <v>198</v>
      </c>
      <c r="B156" s="168">
        <v>515773</v>
      </c>
      <c r="C156" s="183">
        <v>155321.4</v>
      </c>
      <c r="D156" s="180">
        <v>483492.16</v>
      </c>
      <c r="E156" s="168">
        <f t="shared" si="22"/>
        <v>32280.840000000026</v>
      </c>
      <c r="F156" s="5">
        <f t="shared" si="23"/>
        <v>6.2587301002572884E-2</v>
      </c>
      <c r="G156" s="5">
        <f t="shared" si="42"/>
        <v>6.2587301002572884E-2</v>
      </c>
      <c r="H156" s="5">
        <f t="shared" si="24"/>
        <v>0</v>
      </c>
    </row>
    <row r="157" spans="1:8" x14ac:dyDescent="0.2">
      <c r="A157" s="167" t="s">
        <v>320</v>
      </c>
      <c r="B157" s="168">
        <v>500000</v>
      </c>
      <c r="C157" s="183">
        <v>124999.97999999998</v>
      </c>
      <c r="D157" s="180">
        <v>500000</v>
      </c>
      <c r="E157" s="168">
        <f t="shared" si="22"/>
        <v>0</v>
      </c>
      <c r="F157" s="5">
        <f t="shared" si="23"/>
        <v>0</v>
      </c>
      <c r="G157" s="5">
        <f t="shared" si="42"/>
        <v>0</v>
      </c>
      <c r="H157" s="5">
        <f t="shared" si="24"/>
        <v>0</v>
      </c>
    </row>
    <row r="158" spans="1:8" x14ac:dyDescent="0.2">
      <c r="A158" s="167" t="s">
        <v>321</v>
      </c>
      <c r="B158" s="168">
        <v>750000</v>
      </c>
      <c r="C158" s="183">
        <v>187500</v>
      </c>
      <c r="D158" s="180">
        <v>750000</v>
      </c>
      <c r="E158" s="168">
        <f t="shared" si="22"/>
        <v>0</v>
      </c>
      <c r="F158" s="5">
        <f t="shared" si="23"/>
        <v>0</v>
      </c>
      <c r="G158" s="5">
        <f t="shared" si="42"/>
        <v>0</v>
      </c>
      <c r="H158" s="5">
        <f t="shared" si="24"/>
        <v>0</v>
      </c>
    </row>
    <row r="159" spans="1:8" x14ac:dyDescent="0.2">
      <c r="A159" s="167" t="s">
        <v>322</v>
      </c>
      <c r="B159" s="168">
        <v>279479</v>
      </c>
      <c r="C159" s="183">
        <v>69869.75999999998</v>
      </c>
      <c r="D159" s="180">
        <v>279479.03999999998</v>
      </c>
      <c r="E159" s="168">
        <f t="shared" si="22"/>
        <v>-3.9999999979045242E-2</v>
      </c>
      <c r="F159" s="5">
        <f t="shared" si="23"/>
        <v>-1.4312345463897194E-7</v>
      </c>
      <c r="G159" s="5">
        <f t="shared" si="42"/>
        <v>-1.4312345463897194E-7</v>
      </c>
      <c r="H159" s="5">
        <f t="shared" si="24"/>
        <v>0</v>
      </c>
    </row>
    <row r="160" spans="1:8" x14ac:dyDescent="0.2">
      <c r="A160" s="167" t="s">
        <v>323</v>
      </c>
      <c r="B160" s="168">
        <v>48172</v>
      </c>
      <c r="C160" s="183">
        <v>12042.989999999998</v>
      </c>
      <c r="D160" s="180">
        <v>48172</v>
      </c>
      <c r="E160" s="168">
        <f t="shared" si="22"/>
        <v>0</v>
      </c>
      <c r="F160" s="5">
        <f t="shared" si="23"/>
        <v>0</v>
      </c>
      <c r="G160" s="5">
        <f t="shared" si="42"/>
        <v>0</v>
      </c>
      <c r="H160" s="5">
        <f t="shared" si="24"/>
        <v>0</v>
      </c>
    </row>
    <row r="161" spans="1:10" x14ac:dyDescent="0.2">
      <c r="A161" s="167" t="s">
        <v>324</v>
      </c>
      <c r="B161" s="168">
        <v>887779</v>
      </c>
      <c r="C161" s="183">
        <v>223244.72999999998</v>
      </c>
      <c r="D161" s="180">
        <v>892979</v>
      </c>
      <c r="E161" s="168">
        <f t="shared" si="22"/>
        <v>-5200</v>
      </c>
      <c r="F161" s="5">
        <f t="shared" si="23"/>
        <v>-5.8573135881790405E-3</v>
      </c>
      <c r="G161" s="5">
        <f t="shared" si="42"/>
        <v>-5.8573135881790405E-3</v>
      </c>
      <c r="H161" s="5">
        <f t="shared" si="24"/>
        <v>0</v>
      </c>
    </row>
    <row r="162" spans="1:10" x14ac:dyDescent="0.2">
      <c r="A162" s="167" t="s">
        <v>325</v>
      </c>
      <c r="B162" s="168">
        <v>10000000</v>
      </c>
      <c r="C162" s="183">
        <v>2500000.0199999996</v>
      </c>
      <c r="D162" s="180">
        <v>10000000</v>
      </c>
      <c r="E162" s="168">
        <f t="shared" si="22"/>
        <v>0</v>
      </c>
      <c r="F162" s="5">
        <f t="shared" si="23"/>
        <v>0</v>
      </c>
      <c r="G162" s="5">
        <f t="shared" si="42"/>
        <v>0</v>
      </c>
      <c r="H162" s="5">
        <f t="shared" si="24"/>
        <v>0</v>
      </c>
    </row>
    <row r="163" spans="1:10" x14ac:dyDescent="0.2">
      <c r="A163" s="167" t="s">
        <v>326</v>
      </c>
      <c r="B163" s="168">
        <v>20000</v>
      </c>
      <c r="C163" s="183"/>
      <c r="D163" s="180"/>
      <c r="E163" s="168">
        <f t="shared" si="22"/>
        <v>20000</v>
      </c>
      <c r="F163" s="5">
        <f t="shared" si="23"/>
        <v>1</v>
      </c>
      <c r="G163" s="5">
        <f t="shared" si="42"/>
        <v>1</v>
      </c>
      <c r="H163" s="5">
        <f t="shared" si="24"/>
        <v>0</v>
      </c>
    </row>
    <row r="164" spans="1:10" x14ac:dyDescent="0.2">
      <c r="A164" s="167" t="s">
        <v>252</v>
      </c>
      <c r="B164" s="168">
        <v>123700</v>
      </c>
      <c r="C164" s="183">
        <v>20277.880000000005</v>
      </c>
      <c r="D164" s="180">
        <v>81220.930000000008</v>
      </c>
      <c r="E164" s="168">
        <f t="shared" si="22"/>
        <v>42479.069999999992</v>
      </c>
      <c r="F164" s="5">
        <f t="shared" si="23"/>
        <v>0.34340396119644295</v>
      </c>
      <c r="G164" s="5">
        <f t="shared" si="42"/>
        <v>0.34340396119644295</v>
      </c>
      <c r="H164" s="5">
        <f t="shared" si="24"/>
        <v>0</v>
      </c>
    </row>
    <row r="165" spans="1:10" x14ac:dyDescent="0.2">
      <c r="A165" s="167" t="s">
        <v>268</v>
      </c>
      <c r="B165" s="168">
        <v>3500</v>
      </c>
      <c r="C165" s="183"/>
      <c r="D165" s="180"/>
      <c r="E165" s="168">
        <f t="shared" ref="E165:E171" si="49">B165-D165</f>
        <v>3500</v>
      </c>
      <c r="F165" s="5">
        <f t="shared" ref="F165:F171" si="50">E165/B165</f>
        <v>1</v>
      </c>
      <c r="G165" s="5">
        <f>F165/1</f>
        <v>1</v>
      </c>
      <c r="H165" s="5">
        <f t="shared" ref="H165:H171" si="51">G165-F165</f>
        <v>0</v>
      </c>
    </row>
    <row r="166" spans="1:10" x14ac:dyDescent="0.2">
      <c r="A166" s="167" t="s">
        <v>213</v>
      </c>
      <c r="B166" s="168">
        <v>541660</v>
      </c>
      <c r="C166" s="183">
        <v>209515.11</v>
      </c>
      <c r="D166" s="180">
        <v>559219.65999999992</v>
      </c>
      <c r="E166" s="168">
        <f t="shared" si="49"/>
        <v>-17559.659999999916</v>
      </c>
      <c r="F166" s="5">
        <f t="shared" si="50"/>
        <v>-3.241823283978864E-2</v>
      </c>
      <c r="G166" s="5">
        <f t="shared" si="42"/>
        <v>-3.241823283978864E-2</v>
      </c>
      <c r="H166" s="5">
        <f t="shared" si="51"/>
        <v>0</v>
      </c>
    </row>
    <row r="167" spans="1:10" x14ac:dyDescent="0.2">
      <c r="A167" s="167" t="s">
        <v>250</v>
      </c>
      <c r="B167" s="168">
        <v>272393</v>
      </c>
      <c r="C167" s="183">
        <v>15649.37</v>
      </c>
      <c r="D167" s="180">
        <v>50000.289999999994</v>
      </c>
      <c r="E167" s="168">
        <f t="shared" si="49"/>
        <v>222392.71000000002</v>
      </c>
      <c r="F167" s="5">
        <f t="shared" si="50"/>
        <v>0.81644062072079682</v>
      </c>
      <c r="G167" s="5">
        <f t="shared" si="42"/>
        <v>0.81644062072079682</v>
      </c>
      <c r="H167" s="5">
        <f t="shared" si="51"/>
        <v>0</v>
      </c>
    </row>
    <row r="168" spans="1:10" x14ac:dyDescent="0.2">
      <c r="A168" s="167" t="s">
        <v>327</v>
      </c>
      <c r="B168" s="168">
        <v>95450</v>
      </c>
      <c r="C168" s="183">
        <v>52865.4</v>
      </c>
      <c r="D168" s="180">
        <v>96454.209999999992</v>
      </c>
      <c r="E168" s="168">
        <f t="shared" si="49"/>
        <v>-1004.2099999999919</v>
      </c>
      <c r="F168" s="5">
        <f t="shared" si="50"/>
        <v>-1.0520796228391742E-2</v>
      </c>
      <c r="G168" s="5">
        <f t="shared" si="42"/>
        <v>-1.0520796228391742E-2</v>
      </c>
      <c r="H168" s="5">
        <f t="shared" si="51"/>
        <v>0</v>
      </c>
    </row>
    <row r="169" spans="1:10" x14ac:dyDescent="0.2">
      <c r="A169" s="167" t="s">
        <v>233</v>
      </c>
      <c r="B169" s="168">
        <v>302175</v>
      </c>
      <c r="C169" s="183">
        <v>52728.389999999985</v>
      </c>
      <c r="D169" s="180">
        <v>145446.49</v>
      </c>
      <c r="E169" s="168">
        <f t="shared" si="49"/>
        <v>156728.51</v>
      </c>
      <c r="F169" s="5">
        <f t="shared" si="50"/>
        <v>0.51866802349631835</v>
      </c>
      <c r="G169" s="5">
        <f t="shared" si="42"/>
        <v>0.51866802349631835</v>
      </c>
      <c r="H169" s="5">
        <f t="shared" si="51"/>
        <v>0</v>
      </c>
    </row>
    <row r="170" spans="1:10" x14ac:dyDescent="0.2">
      <c r="A170" s="167" t="s">
        <v>260</v>
      </c>
      <c r="B170" s="168">
        <v>12773</v>
      </c>
      <c r="C170" s="183"/>
      <c r="D170" s="180"/>
      <c r="E170" s="168">
        <f t="shared" si="49"/>
        <v>12773</v>
      </c>
      <c r="F170" s="5">
        <f t="shared" si="50"/>
        <v>1</v>
      </c>
      <c r="G170" s="5">
        <f t="shared" si="42"/>
        <v>1</v>
      </c>
      <c r="H170" s="5">
        <f t="shared" si="51"/>
        <v>0</v>
      </c>
    </row>
    <row r="171" spans="1:10" x14ac:dyDescent="0.2">
      <c r="A171" s="167" t="s">
        <v>214</v>
      </c>
      <c r="B171" s="168">
        <v>164000</v>
      </c>
      <c r="C171" s="183">
        <v>412433.51</v>
      </c>
      <c r="D171" s="180">
        <v>503185.84</v>
      </c>
      <c r="E171" s="168">
        <f t="shared" si="49"/>
        <v>-339185.84</v>
      </c>
      <c r="F171" s="5">
        <f t="shared" si="50"/>
        <v>-2.0682063414634149</v>
      </c>
      <c r="G171" s="5">
        <f t="shared" si="42"/>
        <v>-2.0682063414634149</v>
      </c>
      <c r="H171" s="5">
        <f t="shared" si="51"/>
        <v>0</v>
      </c>
    </row>
    <row r="172" spans="1:10" s="7" customFormat="1" x14ac:dyDescent="0.2">
      <c r="A172" s="7" t="s">
        <v>33</v>
      </c>
      <c r="B172" s="170">
        <f>SUM(B36:B171)</f>
        <v>41766473</v>
      </c>
      <c r="C172" s="169">
        <f>SUM(C36:C171)</f>
        <v>9537983.1400000006</v>
      </c>
      <c r="D172" s="170">
        <f>SUM(D36:D171)</f>
        <v>36831619.439999998</v>
      </c>
      <c r="E172" s="170">
        <f>SUM(E36:E171)</f>
        <v>4934853.5599999987</v>
      </c>
      <c r="F172" s="14">
        <f t="shared" ref="F172" si="52">+E172/B172</f>
        <v>0.11815346629819565</v>
      </c>
      <c r="G172" s="14">
        <f>F172/1</f>
        <v>0.11815346629819565</v>
      </c>
      <c r="H172" s="14">
        <f>+G172-F172</f>
        <v>0</v>
      </c>
      <c r="J172" s="22"/>
    </row>
    <row r="173" spans="1:10" x14ac:dyDescent="0.2">
      <c r="F173" s="5"/>
      <c r="G173" s="14"/>
      <c r="H173" s="5"/>
    </row>
    <row r="174" spans="1:10" s="7" customFormat="1" x14ac:dyDescent="0.2">
      <c r="A174" s="7" t="s">
        <v>34</v>
      </c>
      <c r="B174" s="170">
        <f>B172+B33</f>
        <v>74724623</v>
      </c>
      <c r="C174" s="169">
        <f>C172+C33</f>
        <v>17334673.380000003</v>
      </c>
      <c r="D174" s="170">
        <f>D172+D33</f>
        <v>65867586.789999999</v>
      </c>
      <c r="E174" s="170">
        <f>E172+E33</f>
        <v>8857036.2099999953</v>
      </c>
      <c r="F174" s="14">
        <f>+E174/B174</f>
        <v>0.11852901833977798</v>
      </c>
      <c r="G174" s="14">
        <f>F174/1</f>
        <v>0.11852901833977798</v>
      </c>
      <c r="H174" s="14">
        <f>+G174-F174</f>
        <v>0</v>
      </c>
      <c r="J174" s="22"/>
    </row>
    <row r="175" spans="1:10" s="7" customFormat="1" x14ac:dyDescent="0.2">
      <c r="B175" s="170"/>
      <c r="C175" s="169"/>
      <c r="D175" s="170"/>
      <c r="E175" s="170"/>
      <c r="F175" s="14"/>
      <c r="G175" s="5"/>
      <c r="H175" s="14"/>
      <c r="J175" s="22"/>
    </row>
    <row r="176" spans="1:10" x14ac:dyDescent="0.2">
      <c r="A176" s="7" t="s">
        <v>37</v>
      </c>
      <c r="B176" s="170">
        <f>+B28-B174</f>
        <v>0</v>
      </c>
      <c r="C176" s="169">
        <f>+C28-C174</f>
        <v>5062098.0799999982</v>
      </c>
      <c r="D176" s="170">
        <f>+D28-D174</f>
        <v>15570296.670000009</v>
      </c>
      <c r="G176" s="17"/>
      <c r="H176" s="17"/>
    </row>
    <row r="177" spans="1:9" x14ac:dyDescent="0.2">
      <c r="A177" s="7"/>
    </row>
    <row r="181" spans="1:9" x14ac:dyDescent="0.2">
      <c r="F181" s="4"/>
      <c r="G181" s="4"/>
      <c r="H181" s="4"/>
    </row>
    <row r="182" spans="1:9" x14ac:dyDescent="0.2">
      <c r="F182" s="18"/>
      <c r="G182" s="18"/>
      <c r="H182" s="18"/>
      <c r="I182" s="18"/>
    </row>
    <row r="183" spans="1:9" x14ac:dyDescent="0.2">
      <c r="F183" s="18"/>
      <c r="G183" s="18"/>
      <c r="H183" s="18"/>
      <c r="I183" s="18"/>
    </row>
    <row r="184" spans="1:9" x14ac:dyDescent="0.2">
      <c r="F184" s="18"/>
      <c r="G184" s="18"/>
      <c r="H184" s="18"/>
      <c r="I184" s="18"/>
    </row>
    <row r="185" spans="1:9" x14ac:dyDescent="0.2">
      <c r="F185" s="18"/>
      <c r="G185" s="18"/>
      <c r="H185" s="18"/>
      <c r="I185" s="18"/>
    </row>
    <row r="186" spans="1:9" x14ac:dyDescent="0.2">
      <c r="F186" s="18"/>
      <c r="G186" s="18"/>
      <c r="H186" s="18"/>
      <c r="I186" s="18"/>
    </row>
    <row r="187" spans="1:9" x14ac:dyDescent="0.2">
      <c r="F187" s="18"/>
      <c r="G187" s="18"/>
      <c r="H187" s="18"/>
      <c r="I187" s="18"/>
    </row>
    <row r="188" spans="1:9" x14ac:dyDescent="0.2">
      <c r="F188" s="18"/>
      <c r="G188" s="18"/>
      <c r="H188" s="18"/>
      <c r="I188" s="18"/>
    </row>
    <row r="189" spans="1:9" x14ac:dyDescent="0.2">
      <c r="F189" s="18"/>
      <c r="G189" s="18"/>
      <c r="H189" s="18"/>
      <c r="I189" s="18"/>
    </row>
    <row r="190" spans="1:9" x14ac:dyDescent="0.2">
      <c r="F190" s="18"/>
      <c r="G190" s="18"/>
      <c r="H190" s="18"/>
      <c r="I190" s="18"/>
    </row>
    <row r="191" spans="1:9" x14ac:dyDescent="0.2">
      <c r="F191" s="18"/>
      <c r="G191" s="18"/>
      <c r="H191" s="18"/>
      <c r="I191" s="18"/>
    </row>
    <row r="192" spans="1:9" x14ac:dyDescent="0.2">
      <c r="F192" s="18"/>
      <c r="G192" s="18"/>
      <c r="H192" s="18"/>
      <c r="I192" s="18"/>
    </row>
    <row r="193" spans="6:9" x14ac:dyDescent="0.2">
      <c r="F193" s="18"/>
      <c r="G193" s="18"/>
      <c r="H193" s="18"/>
      <c r="I193" s="18"/>
    </row>
    <row r="194" spans="6:9" x14ac:dyDescent="0.2">
      <c r="F194" s="18"/>
      <c r="G194" s="18"/>
      <c r="H194" s="18"/>
      <c r="I194" s="18"/>
    </row>
    <row r="195" spans="6:9" x14ac:dyDescent="0.2">
      <c r="F195" s="18"/>
      <c r="G195" s="18"/>
      <c r="H195" s="18"/>
      <c r="I195" s="18"/>
    </row>
    <row r="196" spans="6:9" x14ac:dyDescent="0.2">
      <c r="F196" s="18"/>
      <c r="G196" s="18"/>
      <c r="H196" s="18"/>
      <c r="I196" s="18"/>
    </row>
    <row r="197" spans="6:9" x14ac:dyDescent="0.2">
      <c r="F197" s="18"/>
      <c r="G197" s="18"/>
      <c r="H197" s="18"/>
      <c r="I197" s="18"/>
    </row>
    <row r="198" spans="6:9" x14ac:dyDescent="0.2">
      <c r="F198" s="18"/>
      <c r="G198" s="18"/>
      <c r="H198" s="18"/>
      <c r="I198" s="18"/>
    </row>
    <row r="199" spans="6:9" x14ac:dyDescent="0.2">
      <c r="F199" s="18"/>
      <c r="G199" s="18"/>
      <c r="H199" s="18"/>
      <c r="I199" s="18"/>
    </row>
    <row r="200" spans="6:9" x14ac:dyDescent="0.2">
      <c r="F200" s="18"/>
      <c r="G200" s="18"/>
      <c r="H200" s="18"/>
      <c r="I200" s="18"/>
    </row>
    <row r="201" spans="6:9" x14ac:dyDescent="0.2">
      <c r="F201" s="18"/>
      <c r="G201" s="18"/>
      <c r="H201" s="18"/>
      <c r="I201" s="18"/>
    </row>
    <row r="202" spans="6:9" x14ac:dyDescent="0.2">
      <c r="F202" s="18"/>
      <c r="G202" s="18"/>
      <c r="H202" s="18"/>
      <c r="I202" s="18"/>
    </row>
    <row r="203" spans="6:9" x14ac:dyDescent="0.2">
      <c r="F203" s="18"/>
      <c r="G203" s="18"/>
      <c r="H203" s="18"/>
      <c r="I203" s="18"/>
    </row>
    <row r="204" spans="6:9" x14ac:dyDescent="0.2">
      <c r="F204" s="18"/>
      <c r="G204" s="18"/>
      <c r="H204" s="18"/>
      <c r="I204" s="18"/>
    </row>
    <row r="205" spans="6:9" x14ac:dyDescent="0.2">
      <c r="F205" s="18"/>
      <c r="G205" s="18"/>
      <c r="H205" s="18"/>
      <c r="I205" s="18"/>
    </row>
    <row r="206" spans="6:9" x14ac:dyDescent="0.2">
      <c r="F206" s="18"/>
      <c r="G206" s="18"/>
      <c r="H206" s="18"/>
      <c r="I206" s="18"/>
    </row>
    <row r="207" spans="6:9" x14ac:dyDescent="0.2">
      <c r="F207" s="18"/>
      <c r="G207" s="18"/>
      <c r="H207" s="18"/>
      <c r="I207" s="18"/>
    </row>
    <row r="208" spans="6:9" x14ac:dyDescent="0.2">
      <c r="F208" s="18"/>
      <c r="G208" s="18"/>
      <c r="H208" s="18"/>
      <c r="I208" s="18"/>
    </row>
    <row r="209" spans="6:9" x14ac:dyDescent="0.2">
      <c r="F209" s="18"/>
      <c r="G209" s="18"/>
      <c r="H209" s="18"/>
      <c r="I209" s="18"/>
    </row>
    <row r="210" spans="6:9" x14ac:dyDescent="0.2">
      <c r="F210" s="18"/>
      <c r="G210" s="18"/>
      <c r="H210" s="18"/>
      <c r="I210" s="18"/>
    </row>
    <row r="211" spans="6:9" x14ac:dyDescent="0.2">
      <c r="F211" s="18"/>
      <c r="G211" s="18"/>
      <c r="H211" s="18"/>
      <c r="I211" s="18"/>
    </row>
    <row r="212" spans="6:9" x14ac:dyDescent="0.2">
      <c r="F212" s="18"/>
      <c r="G212" s="18"/>
      <c r="H212" s="18"/>
      <c r="I212" s="18"/>
    </row>
    <row r="213" spans="6:9" x14ac:dyDescent="0.2">
      <c r="F213" s="18"/>
      <c r="G213" s="18"/>
      <c r="H213" s="18"/>
      <c r="I213" s="18"/>
    </row>
    <row r="214" spans="6:9" x14ac:dyDescent="0.2">
      <c r="F214" s="18"/>
      <c r="G214" s="18"/>
      <c r="H214" s="18"/>
      <c r="I214" s="18"/>
    </row>
    <row r="215" spans="6:9" x14ac:dyDescent="0.2">
      <c r="F215" s="18"/>
      <c r="G215" s="18"/>
      <c r="H215" s="18"/>
      <c r="I215" s="18"/>
    </row>
    <row r="216" spans="6:9" x14ac:dyDescent="0.2">
      <c r="F216" s="18"/>
      <c r="G216" s="18"/>
      <c r="H216" s="18"/>
      <c r="I216" s="18"/>
    </row>
    <row r="217" spans="6:9" x14ac:dyDescent="0.2">
      <c r="F217" s="18"/>
      <c r="G217" s="18"/>
      <c r="H217" s="18"/>
      <c r="I217" s="18"/>
    </row>
    <row r="218" spans="6:9" x14ac:dyDescent="0.2">
      <c r="F218" s="18"/>
      <c r="G218" s="18"/>
      <c r="H218" s="18"/>
      <c r="I218" s="18"/>
    </row>
    <row r="219" spans="6:9" x14ac:dyDescent="0.2">
      <c r="F219" s="18"/>
      <c r="G219" s="18"/>
      <c r="H219" s="18"/>
      <c r="I219" s="18"/>
    </row>
    <row r="220" spans="6:9" x14ac:dyDescent="0.2">
      <c r="F220" s="18"/>
      <c r="G220" s="18"/>
      <c r="H220" s="18"/>
      <c r="I220" s="18"/>
    </row>
    <row r="221" spans="6:9" x14ac:dyDescent="0.2">
      <c r="F221" s="18"/>
      <c r="G221" s="18"/>
      <c r="H221" s="18"/>
      <c r="I221" s="18"/>
    </row>
    <row r="222" spans="6:9" x14ac:dyDescent="0.2">
      <c r="F222" s="18"/>
      <c r="G222" s="18"/>
      <c r="H222" s="18"/>
      <c r="I222" s="18"/>
    </row>
    <row r="223" spans="6:9" x14ac:dyDescent="0.2">
      <c r="F223" s="18"/>
      <c r="G223" s="18"/>
      <c r="H223" s="18"/>
      <c r="I223" s="18"/>
    </row>
    <row r="224" spans="6:9" x14ac:dyDescent="0.2">
      <c r="F224" s="18"/>
      <c r="G224" s="18"/>
      <c r="H224" s="18"/>
      <c r="I224" s="18"/>
    </row>
    <row r="225" spans="6:9" x14ac:dyDescent="0.2">
      <c r="F225" s="18"/>
      <c r="G225" s="18"/>
      <c r="H225" s="18"/>
      <c r="I225" s="18"/>
    </row>
    <row r="226" spans="6:9" x14ac:dyDescent="0.2">
      <c r="F226" s="18"/>
      <c r="G226" s="18"/>
      <c r="H226" s="18"/>
      <c r="I226" s="18"/>
    </row>
    <row r="227" spans="6:9" x14ac:dyDescent="0.2">
      <c r="F227" s="18"/>
      <c r="G227" s="18"/>
      <c r="H227" s="18"/>
      <c r="I227" s="18"/>
    </row>
    <row r="228" spans="6:9" x14ac:dyDescent="0.2">
      <c r="F228" s="18"/>
      <c r="G228" s="18"/>
      <c r="H228" s="18"/>
      <c r="I228" s="18"/>
    </row>
    <row r="229" spans="6:9" x14ac:dyDescent="0.2">
      <c r="F229" s="18"/>
      <c r="G229" s="18"/>
      <c r="H229" s="18"/>
      <c r="I229" s="18"/>
    </row>
    <row r="230" spans="6:9" x14ac:dyDescent="0.2">
      <c r="F230" s="18"/>
      <c r="G230" s="18"/>
      <c r="H230" s="18"/>
      <c r="I230" s="18"/>
    </row>
    <row r="231" spans="6:9" x14ac:dyDescent="0.2">
      <c r="F231" s="18"/>
      <c r="G231" s="18"/>
      <c r="H231" s="18"/>
      <c r="I231" s="18"/>
    </row>
    <row r="232" spans="6:9" x14ac:dyDescent="0.2">
      <c r="F232" s="18"/>
      <c r="G232" s="18"/>
      <c r="H232" s="18"/>
      <c r="I232" s="18"/>
    </row>
    <row r="233" spans="6:9" x14ac:dyDescent="0.2">
      <c r="F233" s="18"/>
      <c r="G233" s="18"/>
      <c r="H233" s="18"/>
      <c r="I233" s="18"/>
    </row>
    <row r="234" spans="6:9" x14ac:dyDescent="0.2">
      <c r="F234" s="18"/>
      <c r="G234" s="18"/>
      <c r="H234" s="18"/>
      <c r="I234" s="18"/>
    </row>
    <row r="235" spans="6:9" x14ac:dyDescent="0.2">
      <c r="F235" s="18"/>
      <c r="G235" s="18"/>
      <c r="H235" s="18"/>
      <c r="I235" s="18"/>
    </row>
    <row r="236" spans="6:9" x14ac:dyDescent="0.2">
      <c r="F236" s="18"/>
      <c r="G236" s="18"/>
      <c r="H236" s="18"/>
      <c r="I236" s="18"/>
    </row>
    <row r="237" spans="6:9" x14ac:dyDescent="0.2">
      <c r="F237" s="18"/>
      <c r="G237" s="18"/>
      <c r="H237" s="18"/>
      <c r="I237" s="18"/>
    </row>
    <row r="238" spans="6:9" x14ac:dyDescent="0.2">
      <c r="F238" s="18"/>
      <c r="G238" s="18"/>
      <c r="H238" s="18"/>
      <c r="I238" s="18"/>
    </row>
    <row r="239" spans="6:9" x14ac:dyDescent="0.2">
      <c r="F239" s="18"/>
      <c r="G239" s="18"/>
      <c r="H239" s="18"/>
      <c r="I239" s="18"/>
    </row>
    <row r="240" spans="6:9" x14ac:dyDescent="0.2">
      <c r="F240" s="18"/>
      <c r="G240" s="18"/>
      <c r="H240" s="18"/>
      <c r="I240" s="18"/>
    </row>
    <row r="241" spans="6:9" x14ac:dyDescent="0.2">
      <c r="F241" s="18"/>
      <c r="G241" s="18"/>
      <c r="H241" s="18"/>
      <c r="I241" s="18"/>
    </row>
    <row r="242" spans="6:9" x14ac:dyDescent="0.2">
      <c r="F242" s="18"/>
      <c r="G242" s="18"/>
      <c r="H242" s="18"/>
      <c r="I242" s="18"/>
    </row>
    <row r="243" spans="6:9" x14ac:dyDescent="0.2">
      <c r="F243" s="18"/>
      <c r="G243" s="18"/>
      <c r="H243" s="18"/>
      <c r="I243" s="18"/>
    </row>
    <row r="244" spans="6:9" x14ac:dyDescent="0.2">
      <c r="F244" s="18"/>
      <c r="G244" s="18"/>
      <c r="H244" s="18"/>
      <c r="I244" s="18"/>
    </row>
    <row r="245" spans="6:9" x14ac:dyDescent="0.2">
      <c r="F245" s="18"/>
      <c r="G245" s="18"/>
      <c r="H245" s="18"/>
      <c r="I245" s="18"/>
    </row>
    <row r="246" spans="6:9" x14ac:dyDescent="0.2">
      <c r="F246" s="18"/>
      <c r="G246" s="18"/>
      <c r="H246" s="18"/>
      <c r="I246" s="18"/>
    </row>
    <row r="247" spans="6:9" x14ac:dyDescent="0.2">
      <c r="F247" s="18"/>
      <c r="G247" s="18"/>
      <c r="H247" s="18"/>
      <c r="I247" s="18"/>
    </row>
    <row r="248" spans="6:9" x14ac:dyDescent="0.2">
      <c r="F248" s="18"/>
      <c r="G248" s="18"/>
      <c r="H248" s="18"/>
      <c r="I248" s="18"/>
    </row>
    <row r="249" spans="6:9" x14ac:dyDescent="0.2">
      <c r="F249" s="18"/>
      <c r="G249" s="18"/>
      <c r="H249" s="18"/>
      <c r="I249" s="18"/>
    </row>
    <row r="250" spans="6:9" x14ac:dyDescent="0.2">
      <c r="F250" s="18"/>
      <c r="G250" s="18"/>
      <c r="H250" s="18"/>
      <c r="I250" s="18"/>
    </row>
    <row r="251" spans="6:9" x14ac:dyDescent="0.2">
      <c r="F251" s="18"/>
      <c r="G251" s="18"/>
      <c r="H251" s="18"/>
      <c r="I251" s="18"/>
    </row>
    <row r="252" spans="6:9" x14ac:dyDescent="0.2">
      <c r="F252" s="18"/>
      <c r="G252" s="18"/>
      <c r="H252" s="18"/>
      <c r="I252" s="18"/>
    </row>
    <row r="253" spans="6:9" x14ac:dyDescent="0.2">
      <c r="F253" s="18"/>
      <c r="G253" s="18"/>
      <c r="H253" s="18"/>
      <c r="I253" s="18"/>
    </row>
    <row r="254" spans="6:9" x14ac:dyDescent="0.2">
      <c r="F254" s="18"/>
      <c r="G254" s="18"/>
      <c r="H254" s="18"/>
      <c r="I254" s="18"/>
    </row>
    <row r="255" spans="6:9" x14ac:dyDescent="0.2">
      <c r="F255" s="18"/>
      <c r="G255" s="18"/>
      <c r="H255" s="18"/>
      <c r="I255" s="18"/>
    </row>
    <row r="256" spans="6:9" x14ac:dyDescent="0.2">
      <c r="F256" s="18"/>
      <c r="G256" s="18"/>
      <c r="H256" s="18"/>
      <c r="I256" s="18"/>
    </row>
    <row r="257" spans="6:9" x14ac:dyDescent="0.2">
      <c r="F257" s="18"/>
      <c r="G257" s="18"/>
      <c r="H257" s="18"/>
      <c r="I257" s="18"/>
    </row>
    <row r="258" spans="6:9" x14ac:dyDescent="0.2">
      <c r="F258" s="18"/>
      <c r="G258" s="18"/>
      <c r="H258" s="18"/>
      <c r="I258" s="18"/>
    </row>
    <row r="259" spans="6:9" x14ac:dyDescent="0.2">
      <c r="F259" s="18"/>
      <c r="G259" s="18"/>
      <c r="H259" s="18"/>
      <c r="I259" s="18"/>
    </row>
  </sheetData>
  <phoneticPr fontId="3" type="noConversion"/>
  <pageMargins left="0.12" right="0.19" top="0.17" bottom="0.17" header="0.17" footer="0.17"/>
  <pageSetup scale="78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6"/>
  <sheetViews>
    <sheetView zoomScaleNormal="100" workbookViewId="0">
      <pane xSplit="1" ySplit="6" topLeftCell="C7" activePane="bottomRight" state="frozen"/>
      <selection pane="topRight" activeCell="B1" sqref="B1"/>
      <selection pane="bottomLeft" activeCell="A7" sqref="A7"/>
      <selection pane="bottomRight" activeCell="C6" sqref="C6"/>
    </sheetView>
  </sheetViews>
  <sheetFormatPr defaultColWidth="9.140625" defaultRowHeight="12.75" x14ac:dyDescent="0.2"/>
  <cols>
    <col min="1" max="1" width="1" style="6" hidden="1" customWidth="1"/>
    <col min="2" max="2" width="0.85546875" style="6" hidden="1" customWidth="1"/>
    <col min="3" max="3" width="67.140625" style="4" bestFit="1" customWidth="1"/>
    <col min="4" max="4" width="15.140625" style="168" bestFit="1" customWidth="1"/>
    <col min="5" max="5" width="13" style="4" bestFit="1" customWidth="1"/>
    <col min="6" max="6" width="18.5703125" style="168" bestFit="1" customWidth="1"/>
    <col min="7" max="7" width="16.5703125" style="4" bestFit="1" customWidth="1"/>
    <col min="8" max="8" width="13.140625" style="4" bestFit="1" customWidth="1"/>
    <col min="9" max="9" width="14.7109375" style="4" bestFit="1" customWidth="1"/>
    <col min="10" max="10" width="14" style="4" bestFit="1" customWidth="1"/>
    <col min="11" max="11" width="11" style="5" bestFit="1" customWidth="1"/>
    <col min="12" max="12" width="9.28515625" style="5" customWidth="1"/>
    <col min="13" max="13" width="10.42578125" style="5" bestFit="1" customWidth="1"/>
    <col min="14" max="14" width="2.7109375" style="6" customWidth="1"/>
    <col min="15" max="15" width="55.140625" style="6" bestFit="1" customWidth="1"/>
    <col min="16" max="16384" width="9.140625" style="6"/>
  </cols>
  <sheetData>
    <row r="1" spans="1:13" x14ac:dyDescent="0.2">
      <c r="B1" s="16"/>
      <c r="C1" s="7" t="s">
        <v>40</v>
      </c>
      <c r="F1" s="177"/>
    </row>
    <row r="2" spans="1:13" x14ac:dyDescent="0.2">
      <c r="B2" s="7"/>
      <c r="C2" s="7" t="s">
        <v>0</v>
      </c>
      <c r="I2" s="8"/>
    </row>
    <row r="3" spans="1:13" x14ac:dyDescent="0.2">
      <c r="B3" s="7"/>
      <c r="C3" s="66" t="s">
        <v>382</v>
      </c>
      <c r="D3" s="169"/>
      <c r="E3" s="66"/>
      <c r="F3" s="178"/>
      <c r="G3" s="9"/>
      <c r="I3" s="10"/>
    </row>
    <row r="4" spans="1:13" x14ac:dyDescent="0.2">
      <c r="A4" s="7"/>
      <c r="B4" s="7"/>
      <c r="C4" s="9"/>
      <c r="D4" s="170"/>
      <c r="E4" s="9"/>
      <c r="F4" s="170"/>
      <c r="G4" s="9"/>
      <c r="I4" s="10"/>
    </row>
    <row r="5" spans="1:13" x14ac:dyDescent="0.2">
      <c r="A5" s="11" t="s">
        <v>71</v>
      </c>
      <c r="B5" s="13" t="s">
        <v>55</v>
      </c>
      <c r="C5" s="6"/>
      <c r="D5" s="171" t="s">
        <v>272</v>
      </c>
      <c r="E5" s="71"/>
      <c r="F5" s="179"/>
      <c r="G5" s="53"/>
      <c r="H5" s="72" t="s">
        <v>38</v>
      </c>
      <c r="I5" s="72" t="s">
        <v>3</v>
      </c>
      <c r="J5" s="72" t="s">
        <v>46</v>
      </c>
      <c r="K5" s="6"/>
      <c r="L5" s="6"/>
      <c r="M5" s="6"/>
    </row>
    <row r="6" spans="1:13" x14ac:dyDescent="0.2">
      <c r="A6" s="11" t="s">
        <v>79</v>
      </c>
      <c r="B6" s="11" t="s">
        <v>3</v>
      </c>
      <c r="C6" s="7" t="s">
        <v>41</v>
      </c>
      <c r="D6" s="172" t="s">
        <v>3</v>
      </c>
      <c r="E6" s="73" t="s">
        <v>374</v>
      </c>
      <c r="F6" s="172" t="s">
        <v>16</v>
      </c>
      <c r="G6" s="73" t="s">
        <v>15</v>
      </c>
      <c r="H6" s="74" t="s">
        <v>15</v>
      </c>
      <c r="I6" s="74" t="s">
        <v>15</v>
      </c>
      <c r="J6" s="74" t="s">
        <v>44</v>
      </c>
      <c r="K6" s="6"/>
      <c r="L6" s="15" t="s">
        <v>51</v>
      </c>
      <c r="M6" s="6"/>
    </row>
    <row r="7" spans="1:13" s="25" customFormat="1" x14ac:dyDescent="0.2">
      <c r="A7" s="28">
        <v>83348.61</v>
      </c>
      <c r="B7" s="28">
        <v>82088</v>
      </c>
      <c r="C7" s="6" t="s">
        <v>328</v>
      </c>
      <c r="D7" s="168">
        <v>355649</v>
      </c>
      <c r="E7" s="3">
        <v>56855.749999999993</v>
      </c>
      <c r="F7" s="180">
        <v>218373.01999999996</v>
      </c>
      <c r="G7" s="28">
        <f t="shared" ref="G7:G38" si="0">+D7-F7</f>
        <v>137275.98000000004</v>
      </c>
      <c r="H7" s="50">
        <f>+G7/D7</f>
        <v>0.38598725147547169</v>
      </c>
      <c r="I7" s="50">
        <f>H7/1</f>
        <v>0.38598725147547169</v>
      </c>
      <c r="J7" s="50">
        <f t="shared" ref="J7:J38" si="1">+I7-H7</f>
        <v>0</v>
      </c>
    </row>
    <row r="8" spans="1:13" s="25" customFormat="1" x14ac:dyDescent="0.2">
      <c r="A8" s="28">
        <f>267400.8</f>
        <v>267400.8</v>
      </c>
      <c r="B8" s="28">
        <v>253160</v>
      </c>
      <c r="C8" s="6" t="s">
        <v>329</v>
      </c>
      <c r="D8" s="168">
        <v>748102</v>
      </c>
      <c r="E8" s="3">
        <v>181573.42</v>
      </c>
      <c r="F8" s="180">
        <v>730892.03000000014</v>
      </c>
      <c r="G8" s="28">
        <f t="shared" si="0"/>
        <v>17209.969999999856</v>
      </c>
      <c r="H8" s="50">
        <f t="shared" ref="H8:H31" si="2">+G8/D8</f>
        <v>2.3004844259205102E-2</v>
      </c>
      <c r="I8" s="50">
        <f t="shared" ref="I8:I52" si="3">H8/1</f>
        <v>2.3004844259205102E-2</v>
      </c>
      <c r="J8" s="50">
        <f t="shared" si="1"/>
        <v>0</v>
      </c>
    </row>
    <row r="9" spans="1:13" s="25" customFormat="1" x14ac:dyDescent="0.2">
      <c r="A9" s="28">
        <v>257445.63</v>
      </c>
      <c r="B9" s="28">
        <v>287120</v>
      </c>
      <c r="C9" s="6" t="s">
        <v>330</v>
      </c>
      <c r="D9" s="168">
        <v>346892</v>
      </c>
      <c r="E9" s="3">
        <v>81350.660000000033</v>
      </c>
      <c r="F9" s="180">
        <v>294228.33999999997</v>
      </c>
      <c r="G9" s="28">
        <f t="shared" si="0"/>
        <v>52663.660000000033</v>
      </c>
      <c r="H9" s="50">
        <f>+G9/D9</f>
        <v>0.15181572362579718</v>
      </c>
      <c r="I9" s="50">
        <f t="shared" si="3"/>
        <v>0.15181572362579718</v>
      </c>
      <c r="J9" s="50">
        <f>+I9-H9</f>
        <v>0</v>
      </c>
    </row>
    <row r="10" spans="1:13" s="25" customFormat="1" x14ac:dyDescent="0.2">
      <c r="A10" s="28">
        <v>42150</v>
      </c>
      <c r="B10" s="28">
        <v>43500</v>
      </c>
      <c r="C10" s="6" t="s">
        <v>355</v>
      </c>
      <c r="D10" s="168">
        <v>1745532</v>
      </c>
      <c r="E10" s="3">
        <v>139812.17999999996</v>
      </c>
      <c r="F10" s="180">
        <v>1875061.9100000001</v>
      </c>
      <c r="G10" s="28">
        <f t="shared" si="0"/>
        <v>-129529.91000000015</v>
      </c>
      <c r="H10" s="50">
        <f t="shared" si="2"/>
        <v>-7.4206551355117029E-2</v>
      </c>
      <c r="I10" s="50">
        <f t="shared" si="3"/>
        <v>-7.4206551355117029E-2</v>
      </c>
      <c r="J10" s="50">
        <f t="shared" si="1"/>
        <v>0</v>
      </c>
    </row>
    <row r="11" spans="1:13" s="25" customFormat="1" x14ac:dyDescent="0.2">
      <c r="A11" s="28">
        <v>327307.82</v>
      </c>
      <c r="B11" s="28">
        <v>332873</v>
      </c>
      <c r="C11" s="6" t="s">
        <v>331</v>
      </c>
      <c r="D11" s="168">
        <v>396924</v>
      </c>
      <c r="E11" s="3">
        <v>94032.520000000019</v>
      </c>
      <c r="F11" s="180">
        <v>379800.3</v>
      </c>
      <c r="G11" s="28">
        <f t="shared" si="0"/>
        <v>17123.700000000012</v>
      </c>
      <c r="H11" s="50">
        <f t="shared" si="2"/>
        <v>4.3141004323245788E-2</v>
      </c>
      <c r="I11" s="50">
        <f t="shared" si="3"/>
        <v>4.3141004323245788E-2</v>
      </c>
      <c r="J11" s="50">
        <f t="shared" si="1"/>
        <v>0</v>
      </c>
    </row>
    <row r="12" spans="1:13" s="25" customFormat="1" x14ac:dyDescent="0.2">
      <c r="A12" s="28"/>
      <c r="B12" s="28"/>
      <c r="C12" s="6" t="s">
        <v>332</v>
      </c>
      <c r="D12" s="168">
        <v>558537</v>
      </c>
      <c r="E12" s="3">
        <v>119571.88000000008</v>
      </c>
      <c r="F12" s="180">
        <v>479482.25999999995</v>
      </c>
      <c r="G12" s="28">
        <f>+D12-F12</f>
        <v>79054.740000000049</v>
      </c>
      <c r="H12" s="50">
        <f>+G12/D12</f>
        <v>0.14153894907588943</v>
      </c>
      <c r="I12" s="50">
        <f t="shared" si="3"/>
        <v>0.14153894907588943</v>
      </c>
      <c r="J12" s="50">
        <f>+I12-H12</f>
        <v>0</v>
      </c>
    </row>
    <row r="13" spans="1:13" s="31" customFormat="1" x14ac:dyDescent="0.2">
      <c r="A13" s="40">
        <v>42661.26</v>
      </c>
      <c r="B13" s="40">
        <v>41186</v>
      </c>
      <c r="C13" s="6" t="s">
        <v>180</v>
      </c>
      <c r="D13" s="168">
        <v>237435</v>
      </c>
      <c r="E13" s="3">
        <v>49835.219999999972</v>
      </c>
      <c r="F13" s="180">
        <v>232063.54999999996</v>
      </c>
      <c r="G13" s="40">
        <f t="shared" si="0"/>
        <v>5371.4500000000407</v>
      </c>
      <c r="H13" s="88">
        <f t="shared" si="2"/>
        <v>2.2622823088424372E-2</v>
      </c>
      <c r="I13" s="50">
        <f t="shared" si="3"/>
        <v>2.2622823088424372E-2</v>
      </c>
      <c r="J13" s="88">
        <f t="shared" si="1"/>
        <v>0</v>
      </c>
    </row>
    <row r="14" spans="1:13" s="25" customFormat="1" x14ac:dyDescent="0.2">
      <c r="A14" s="28">
        <v>38796.57</v>
      </c>
      <c r="B14" s="28">
        <v>37395</v>
      </c>
      <c r="C14" s="6" t="s">
        <v>181</v>
      </c>
      <c r="D14" s="168">
        <v>1057903</v>
      </c>
      <c r="E14" s="3">
        <v>287389.03000000009</v>
      </c>
      <c r="F14" s="180">
        <v>1037030.36</v>
      </c>
      <c r="G14" s="28">
        <f t="shared" si="0"/>
        <v>20872.640000000014</v>
      </c>
      <c r="H14" s="50">
        <f t="shared" si="2"/>
        <v>1.9730202107376589E-2</v>
      </c>
      <c r="I14" s="50">
        <f t="shared" si="3"/>
        <v>1.9730202107376589E-2</v>
      </c>
      <c r="J14" s="50">
        <f t="shared" si="1"/>
        <v>0</v>
      </c>
    </row>
    <row r="15" spans="1:13" s="25" customFormat="1" x14ac:dyDescent="0.2">
      <c r="A15" s="28">
        <v>377377.45</v>
      </c>
      <c r="B15" s="28">
        <v>363435</v>
      </c>
      <c r="C15" s="6" t="s">
        <v>333</v>
      </c>
      <c r="D15" s="168">
        <v>660887</v>
      </c>
      <c r="E15" s="3">
        <v>120249.35999999997</v>
      </c>
      <c r="F15" s="180">
        <v>610998.4</v>
      </c>
      <c r="G15" s="28">
        <f t="shared" si="0"/>
        <v>49888.599999999977</v>
      </c>
      <c r="H15" s="50">
        <f t="shared" si="2"/>
        <v>7.5487337472215338E-2</v>
      </c>
      <c r="I15" s="50">
        <f t="shared" si="3"/>
        <v>7.5487337472215338E-2</v>
      </c>
      <c r="J15" s="50">
        <f t="shared" si="1"/>
        <v>0</v>
      </c>
      <c r="M15" s="28"/>
    </row>
    <row r="16" spans="1:13" s="25" customFormat="1" x14ac:dyDescent="0.2">
      <c r="A16" s="28">
        <v>128838.5</v>
      </c>
      <c r="B16" s="28">
        <v>115865</v>
      </c>
      <c r="C16" s="6" t="s">
        <v>182</v>
      </c>
      <c r="D16" s="168">
        <v>1061442</v>
      </c>
      <c r="E16" s="3">
        <v>266241.71000000008</v>
      </c>
      <c r="F16" s="180">
        <v>968739.57000000007</v>
      </c>
      <c r="G16" s="28">
        <f t="shared" si="0"/>
        <v>92702.429999999935</v>
      </c>
      <c r="H16" s="50">
        <f t="shared" si="2"/>
        <v>8.733631229968282E-2</v>
      </c>
      <c r="I16" s="50">
        <f t="shared" si="3"/>
        <v>8.733631229968282E-2</v>
      </c>
      <c r="J16" s="50">
        <f t="shared" si="1"/>
        <v>0</v>
      </c>
    </row>
    <row r="17" spans="1:13" s="25" customFormat="1" x14ac:dyDescent="0.2">
      <c r="A17" s="28">
        <v>23585.33</v>
      </c>
      <c r="B17" s="28">
        <v>23451</v>
      </c>
      <c r="C17" s="6" t="s">
        <v>334</v>
      </c>
      <c r="D17" s="168">
        <v>626660</v>
      </c>
      <c r="E17" s="3">
        <v>79087.66</v>
      </c>
      <c r="F17" s="180">
        <v>360899.5400000001</v>
      </c>
      <c r="G17" s="28">
        <f t="shared" si="0"/>
        <v>265760.4599999999</v>
      </c>
      <c r="H17" s="50">
        <f t="shared" si="2"/>
        <v>0.42409035202502138</v>
      </c>
      <c r="I17" s="50">
        <f t="shared" si="3"/>
        <v>0.42409035202502138</v>
      </c>
      <c r="J17" s="50">
        <f t="shared" si="1"/>
        <v>0</v>
      </c>
    </row>
    <row r="18" spans="1:13" s="25" customFormat="1" x14ac:dyDescent="0.2">
      <c r="A18" s="28">
        <v>452.92</v>
      </c>
      <c r="B18" s="28">
        <v>650</v>
      </c>
      <c r="C18" s="6" t="s">
        <v>183</v>
      </c>
      <c r="D18" s="168">
        <v>480676</v>
      </c>
      <c r="E18" s="3">
        <v>76323.12999999999</v>
      </c>
      <c r="F18" s="180">
        <v>359414</v>
      </c>
      <c r="G18" s="28">
        <f t="shared" si="0"/>
        <v>121262</v>
      </c>
      <c r="H18" s="50">
        <f t="shared" si="2"/>
        <v>0.25227388095099401</v>
      </c>
      <c r="I18" s="50">
        <f t="shared" si="3"/>
        <v>0.25227388095099401</v>
      </c>
      <c r="J18" s="50">
        <f t="shared" si="1"/>
        <v>0</v>
      </c>
    </row>
    <row r="19" spans="1:13" s="25" customFormat="1" x14ac:dyDescent="0.2">
      <c r="A19" s="28">
        <v>51835.03</v>
      </c>
      <c r="B19" s="28">
        <v>53034</v>
      </c>
      <c r="C19" s="6" t="s">
        <v>335</v>
      </c>
      <c r="D19" s="168">
        <v>97635</v>
      </c>
      <c r="E19" s="3">
        <v>21459.769999999993</v>
      </c>
      <c r="F19" s="180">
        <v>85583.909999999989</v>
      </c>
      <c r="G19" s="28">
        <f t="shared" si="0"/>
        <v>12051.090000000011</v>
      </c>
      <c r="H19" s="50">
        <f t="shared" si="2"/>
        <v>0.12343001997234609</v>
      </c>
      <c r="I19" s="50">
        <f t="shared" si="3"/>
        <v>0.12343001997234609</v>
      </c>
      <c r="J19" s="50">
        <f t="shared" si="1"/>
        <v>0</v>
      </c>
    </row>
    <row r="20" spans="1:13" s="25" customFormat="1" x14ac:dyDescent="0.2">
      <c r="A20" s="28">
        <v>466540.74</v>
      </c>
      <c r="B20" s="28">
        <v>485637</v>
      </c>
      <c r="C20" s="6" t="s">
        <v>184</v>
      </c>
      <c r="D20" s="168">
        <v>52500</v>
      </c>
      <c r="E20" s="3">
        <v>5203.6400000000003</v>
      </c>
      <c r="F20" s="180">
        <v>14386.37</v>
      </c>
      <c r="G20" s="28">
        <f t="shared" si="0"/>
        <v>38113.629999999997</v>
      </c>
      <c r="H20" s="50">
        <f t="shared" si="2"/>
        <v>0.72597390476190471</v>
      </c>
      <c r="I20" s="50">
        <f t="shared" si="3"/>
        <v>0.72597390476190471</v>
      </c>
      <c r="J20" s="50">
        <f t="shared" si="1"/>
        <v>0</v>
      </c>
    </row>
    <row r="21" spans="1:13" s="25" customFormat="1" x14ac:dyDescent="0.2">
      <c r="A21" s="28">
        <v>3606386.83</v>
      </c>
      <c r="B21" s="28">
        <f>3553868+37290</f>
        <v>3591158</v>
      </c>
      <c r="C21" s="6" t="s">
        <v>185</v>
      </c>
      <c r="D21" s="168">
        <v>25000</v>
      </c>
      <c r="E21" s="3">
        <v>3600</v>
      </c>
      <c r="F21" s="180">
        <v>20675.16</v>
      </c>
      <c r="G21" s="28">
        <f>+D21-F21</f>
        <v>4324.84</v>
      </c>
      <c r="H21" s="50">
        <f>+G21/D21</f>
        <v>0.1729936</v>
      </c>
      <c r="I21" s="50">
        <f t="shared" si="3"/>
        <v>0.1729936</v>
      </c>
      <c r="J21" s="50">
        <f>+I21-H21</f>
        <v>0</v>
      </c>
      <c r="M21" s="28"/>
    </row>
    <row r="22" spans="1:13" s="25" customFormat="1" x14ac:dyDescent="0.2">
      <c r="A22" s="28">
        <v>489046.06</v>
      </c>
      <c r="B22" s="28">
        <v>513349</v>
      </c>
      <c r="C22" s="6" t="s">
        <v>336</v>
      </c>
      <c r="D22" s="168">
        <v>7300</v>
      </c>
      <c r="E22" s="182">
        <v>3932.95</v>
      </c>
      <c r="F22" s="183">
        <v>2406.67</v>
      </c>
      <c r="G22" s="28">
        <f t="shared" si="0"/>
        <v>4893.33</v>
      </c>
      <c r="H22" s="50">
        <f t="shared" si="2"/>
        <v>0.67031917808219177</v>
      </c>
      <c r="I22" s="50">
        <f t="shared" si="3"/>
        <v>0.67031917808219177</v>
      </c>
      <c r="J22" s="50">
        <f t="shared" si="1"/>
        <v>0</v>
      </c>
      <c r="M22" s="28"/>
    </row>
    <row r="23" spans="1:13" s="25" customFormat="1" x14ac:dyDescent="0.2">
      <c r="A23" s="28">
        <v>1232529.31</v>
      </c>
      <c r="B23" s="28">
        <v>1205079</v>
      </c>
      <c r="C23" s="6" t="s">
        <v>337</v>
      </c>
      <c r="D23" s="168">
        <v>758182</v>
      </c>
      <c r="E23" s="3">
        <v>170968.97</v>
      </c>
      <c r="F23" s="180">
        <v>691481.4</v>
      </c>
      <c r="G23" s="28">
        <f t="shared" si="0"/>
        <v>66700.599999999977</v>
      </c>
      <c r="H23" s="50">
        <f t="shared" si="2"/>
        <v>8.7974391373047606E-2</v>
      </c>
      <c r="I23" s="50">
        <f t="shared" si="3"/>
        <v>8.7974391373047606E-2</v>
      </c>
      <c r="J23" s="50">
        <f t="shared" si="1"/>
        <v>0</v>
      </c>
      <c r="M23" s="28"/>
    </row>
    <row r="24" spans="1:13" s="25" customFormat="1" x14ac:dyDescent="0.2">
      <c r="A24" s="28">
        <v>2142458.0699999998</v>
      </c>
      <c r="B24" s="28">
        <v>2094310</v>
      </c>
      <c r="C24" s="6" t="s">
        <v>338</v>
      </c>
      <c r="D24" s="168">
        <v>1785653</v>
      </c>
      <c r="E24" s="188">
        <v>477586.96000000008</v>
      </c>
      <c r="F24" s="180">
        <v>1620110.88</v>
      </c>
      <c r="G24" s="28">
        <f t="shared" si="0"/>
        <v>165542.12000000011</v>
      </c>
      <c r="H24" s="50">
        <f t="shared" si="2"/>
        <v>9.2706768896308578E-2</v>
      </c>
      <c r="I24" s="50">
        <f t="shared" si="3"/>
        <v>9.2706768896308578E-2</v>
      </c>
      <c r="J24" s="50">
        <f t="shared" si="1"/>
        <v>0</v>
      </c>
    </row>
    <row r="25" spans="1:13" s="25" customFormat="1" x14ac:dyDescent="0.2">
      <c r="A25" s="28">
        <v>316771.33</v>
      </c>
      <c r="B25" s="28">
        <v>308100</v>
      </c>
      <c r="C25" s="6" t="s">
        <v>186</v>
      </c>
      <c r="D25" s="168">
        <v>1347100</v>
      </c>
      <c r="E25" s="3">
        <v>327533.95999999996</v>
      </c>
      <c r="F25" s="180">
        <v>1177999.5799999998</v>
      </c>
      <c r="G25" s="28">
        <f t="shared" si="0"/>
        <v>169100.42000000016</v>
      </c>
      <c r="H25" s="50">
        <f t="shared" si="2"/>
        <v>0.12552922574419134</v>
      </c>
      <c r="I25" s="50">
        <f t="shared" si="3"/>
        <v>0.12552922574419134</v>
      </c>
      <c r="J25" s="50">
        <f t="shared" si="1"/>
        <v>0</v>
      </c>
    </row>
    <row r="26" spans="1:13" s="25" customFormat="1" x14ac:dyDescent="0.2">
      <c r="A26" s="28"/>
      <c r="B26" s="28"/>
      <c r="C26" s="6" t="s">
        <v>356</v>
      </c>
      <c r="D26" s="168">
        <v>0</v>
      </c>
      <c r="E26" s="3">
        <v>6555.92</v>
      </c>
      <c r="F26" s="180">
        <v>30821.31</v>
      </c>
      <c r="G26" s="28">
        <f t="shared" ref="G26" si="4">+D26-F26</f>
        <v>-30821.31</v>
      </c>
      <c r="H26" s="181">
        <v>0</v>
      </c>
      <c r="I26" s="88">
        <f t="shared" ref="I26" si="5">H26/1</f>
        <v>0</v>
      </c>
      <c r="J26" s="88">
        <f t="shared" ref="J26" si="6">+I26-H26</f>
        <v>0</v>
      </c>
    </row>
    <row r="27" spans="1:13" s="25" customFormat="1" x14ac:dyDescent="0.2">
      <c r="A27" s="28">
        <f>363483.53-752.48</f>
        <v>362731.05000000005</v>
      </c>
      <c r="B27" s="28">
        <v>368841</v>
      </c>
      <c r="C27" s="6" t="s">
        <v>187</v>
      </c>
      <c r="D27" s="168">
        <v>8185154</v>
      </c>
      <c r="E27" s="3">
        <v>2068328.3399999994</v>
      </c>
      <c r="F27" s="180">
        <v>7571097.5899999989</v>
      </c>
      <c r="G27" s="28">
        <f t="shared" si="0"/>
        <v>614056.41000000108</v>
      </c>
      <c r="H27" s="50">
        <f t="shared" si="2"/>
        <v>7.5020752205761931E-2</v>
      </c>
      <c r="I27" s="50">
        <f t="shared" si="3"/>
        <v>7.5020752205761931E-2</v>
      </c>
      <c r="J27" s="50">
        <f t="shared" si="1"/>
        <v>0</v>
      </c>
    </row>
    <row r="28" spans="1:13" s="25" customFormat="1" x14ac:dyDescent="0.2">
      <c r="A28" s="28">
        <v>255896.8</v>
      </c>
      <c r="B28" s="28">
        <v>203574</v>
      </c>
      <c r="C28" s="6" t="s">
        <v>339</v>
      </c>
      <c r="D28" s="168">
        <v>1815089</v>
      </c>
      <c r="E28" s="3">
        <f>352368.34+21181.19</f>
        <v>373549.53</v>
      </c>
      <c r="F28" s="180">
        <f>1467431.1+57387.12</f>
        <v>1524818.2200000002</v>
      </c>
      <c r="G28" s="28">
        <f t="shared" si="0"/>
        <v>290270.7799999998</v>
      </c>
      <c r="H28" s="50">
        <f t="shared" si="2"/>
        <v>0.15992096255335125</v>
      </c>
      <c r="I28" s="50">
        <f t="shared" si="3"/>
        <v>0.15992096255335125</v>
      </c>
      <c r="J28" s="50">
        <f t="shared" si="1"/>
        <v>0</v>
      </c>
    </row>
    <row r="29" spans="1:13" s="25" customFormat="1" x14ac:dyDescent="0.2">
      <c r="A29" s="28">
        <v>140</v>
      </c>
      <c r="B29" s="28">
        <v>200</v>
      </c>
      <c r="C29" s="6" t="s">
        <v>188</v>
      </c>
      <c r="D29" s="168">
        <v>6841890</v>
      </c>
      <c r="E29" s="3">
        <v>1835751.8899999992</v>
      </c>
      <c r="F29" s="180">
        <v>6345880.0999999987</v>
      </c>
      <c r="G29" s="28">
        <f t="shared" si="0"/>
        <v>496009.9000000013</v>
      </c>
      <c r="H29" s="50">
        <f t="shared" si="2"/>
        <v>7.2496035452192492E-2</v>
      </c>
      <c r="I29" s="50">
        <f t="shared" si="3"/>
        <v>7.2496035452192492E-2</v>
      </c>
      <c r="J29" s="50">
        <f t="shared" si="1"/>
        <v>0</v>
      </c>
    </row>
    <row r="30" spans="1:13" s="25" customFormat="1" x14ac:dyDescent="0.2">
      <c r="A30" s="28">
        <f>1030884.15-2621.11</f>
        <v>1028263.04</v>
      </c>
      <c r="B30" s="28">
        <v>1013813</v>
      </c>
      <c r="C30" s="6" t="s">
        <v>340</v>
      </c>
      <c r="D30" s="168">
        <v>4000000</v>
      </c>
      <c r="E30" s="3">
        <v>744500</v>
      </c>
      <c r="F30" s="180">
        <v>2621668</v>
      </c>
      <c r="G30" s="28">
        <f>+D30-F30</f>
        <v>1378332</v>
      </c>
      <c r="H30" s="50">
        <f>+G30/D30</f>
        <v>0.34458299999999997</v>
      </c>
      <c r="I30" s="50">
        <f t="shared" si="3"/>
        <v>0.34458299999999997</v>
      </c>
      <c r="J30" s="50">
        <f>+I30-H30</f>
        <v>0</v>
      </c>
      <c r="M30" s="28"/>
    </row>
    <row r="31" spans="1:13" s="25" customFormat="1" x14ac:dyDescent="0.2">
      <c r="A31" s="28">
        <v>42202.9</v>
      </c>
      <c r="B31" s="28">
        <v>43000</v>
      </c>
      <c r="C31" s="6" t="s">
        <v>341</v>
      </c>
      <c r="D31" s="168">
        <v>99954</v>
      </c>
      <c r="E31" s="3">
        <v>16816.109999999997</v>
      </c>
      <c r="F31" s="180">
        <v>84793.22</v>
      </c>
      <c r="G31" s="28">
        <f t="shared" si="0"/>
        <v>15160.779999999999</v>
      </c>
      <c r="H31" s="50">
        <f t="shared" si="2"/>
        <v>0.15167757168297416</v>
      </c>
      <c r="I31" s="50">
        <f t="shared" si="3"/>
        <v>0.15167757168297416</v>
      </c>
      <c r="J31" s="50">
        <f t="shared" si="1"/>
        <v>0</v>
      </c>
    </row>
    <row r="32" spans="1:13" s="25" customFormat="1" x14ac:dyDescent="0.2">
      <c r="A32" s="28">
        <v>1561856.67</v>
      </c>
      <c r="B32" s="28">
        <v>1533011</v>
      </c>
      <c r="C32" s="6" t="s">
        <v>342</v>
      </c>
      <c r="D32" s="168">
        <v>217845</v>
      </c>
      <c r="E32" s="3">
        <v>37203.410000000003</v>
      </c>
      <c r="F32" s="180">
        <v>129013.98</v>
      </c>
      <c r="G32" s="28">
        <f>+D32-F32</f>
        <v>88831.02</v>
      </c>
      <c r="H32" s="50">
        <f>+G32/D32</f>
        <v>0.4077716725194519</v>
      </c>
      <c r="I32" s="50">
        <f t="shared" si="3"/>
        <v>0.4077716725194519</v>
      </c>
      <c r="J32" s="50">
        <f>+I32-H32</f>
        <v>0</v>
      </c>
    </row>
    <row r="33" spans="1:10" s="25" customFormat="1" x14ac:dyDescent="0.2">
      <c r="A33" s="28">
        <v>6325</v>
      </c>
      <c r="B33" s="28">
        <v>8000</v>
      </c>
      <c r="C33" s="6" t="s">
        <v>343</v>
      </c>
      <c r="D33" s="168">
        <v>828742</v>
      </c>
      <c r="E33" s="3">
        <v>196613.03000000003</v>
      </c>
      <c r="F33" s="180">
        <v>674346.71</v>
      </c>
      <c r="G33" s="28">
        <f t="shared" si="0"/>
        <v>154395.29000000004</v>
      </c>
      <c r="H33" s="50">
        <f t="shared" ref="H33:H48" si="7">+G33/D33</f>
        <v>0.18630079083719667</v>
      </c>
      <c r="I33" s="50">
        <f t="shared" si="3"/>
        <v>0.18630079083719667</v>
      </c>
      <c r="J33" s="50">
        <f t="shared" si="1"/>
        <v>0</v>
      </c>
    </row>
    <row r="34" spans="1:10" s="25" customFormat="1" x14ac:dyDescent="0.2">
      <c r="A34" s="28">
        <v>1488767.5</v>
      </c>
      <c r="B34" s="28">
        <v>1525727</v>
      </c>
      <c r="C34" s="6" t="s">
        <v>344</v>
      </c>
      <c r="D34" s="168">
        <v>274359</v>
      </c>
      <c r="E34" s="3">
        <v>45565.36</v>
      </c>
      <c r="F34" s="180">
        <v>153377.12</v>
      </c>
      <c r="G34" s="28">
        <f t="shared" si="0"/>
        <v>120981.88</v>
      </c>
      <c r="H34" s="50">
        <f t="shared" si="7"/>
        <v>0.44096195131196719</v>
      </c>
      <c r="I34" s="50">
        <f t="shared" si="3"/>
        <v>0.44096195131196719</v>
      </c>
      <c r="J34" s="50">
        <f t="shared" si="1"/>
        <v>0</v>
      </c>
    </row>
    <row r="35" spans="1:10" s="25" customFormat="1" x14ac:dyDescent="0.2">
      <c r="A35" s="28">
        <v>243757</v>
      </c>
      <c r="B35" s="28">
        <v>230111</v>
      </c>
      <c r="C35" s="6" t="s">
        <v>345</v>
      </c>
      <c r="D35" s="168">
        <v>1565000</v>
      </c>
      <c r="E35" s="3">
        <v>634602.29</v>
      </c>
      <c r="F35" s="180">
        <v>1527424.85</v>
      </c>
      <c r="G35" s="28">
        <f>+D35-F35</f>
        <v>37575.149999999907</v>
      </c>
      <c r="H35" s="50">
        <f t="shared" si="7"/>
        <v>2.400968051118205E-2</v>
      </c>
      <c r="I35" s="50">
        <f t="shared" si="3"/>
        <v>2.400968051118205E-2</v>
      </c>
      <c r="J35" s="50">
        <f t="shared" si="1"/>
        <v>0</v>
      </c>
    </row>
    <row r="36" spans="1:10" s="25" customFormat="1" x14ac:dyDescent="0.2">
      <c r="A36" s="28"/>
      <c r="B36" s="28"/>
      <c r="C36" s="6" t="s">
        <v>375</v>
      </c>
      <c r="D36" s="168">
        <v>0</v>
      </c>
      <c r="E36" s="3">
        <v>14063.06</v>
      </c>
      <c r="F36" s="180">
        <v>35739.78</v>
      </c>
      <c r="G36" s="28">
        <f>+D36-F36</f>
        <v>-35739.78</v>
      </c>
      <c r="H36" s="50">
        <v>0</v>
      </c>
      <c r="I36" s="50">
        <f t="shared" si="3"/>
        <v>0</v>
      </c>
      <c r="J36" s="50">
        <f t="shared" si="1"/>
        <v>0</v>
      </c>
    </row>
    <row r="37" spans="1:10" s="25" customFormat="1" x14ac:dyDescent="0.2">
      <c r="A37" s="28">
        <v>70286</v>
      </c>
      <c r="B37" s="28">
        <v>70087</v>
      </c>
      <c r="C37" s="6" t="s">
        <v>346</v>
      </c>
      <c r="D37" s="168">
        <v>922715</v>
      </c>
      <c r="E37" s="3">
        <v>241933.47000000003</v>
      </c>
      <c r="F37" s="180">
        <v>797682.95000000007</v>
      </c>
      <c r="G37" s="28">
        <f t="shared" si="0"/>
        <v>125032.04999999993</v>
      </c>
      <c r="H37" s="50">
        <f t="shared" si="7"/>
        <v>0.13550451656253548</v>
      </c>
      <c r="I37" s="50">
        <f t="shared" si="3"/>
        <v>0.13550451656253548</v>
      </c>
      <c r="J37" s="50">
        <f t="shared" si="1"/>
        <v>0</v>
      </c>
    </row>
    <row r="38" spans="1:10" s="25" customFormat="1" x14ac:dyDescent="0.2">
      <c r="A38" s="28">
        <v>17000</v>
      </c>
      <c r="B38" s="28">
        <v>16150</v>
      </c>
      <c r="C38" s="6" t="s">
        <v>189</v>
      </c>
      <c r="D38" s="168">
        <v>2215879</v>
      </c>
      <c r="E38" s="3">
        <v>1052622.1100000003</v>
      </c>
      <c r="F38" s="180">
        <v>2446997.58</v>
      </c>
      <c r="G38" s="28">
        <f t="shared" si="0"/>
        <v>-231118.58000000007</v>
      </c>
      <c r="H38" s="50">
        <f t="shared" si="7"/>
        <v>-0.10430108322701739</v>
      </c>
      <c r="I38" s="50">
        <f t="shared" si="3"/>
        <v>-0.10430108322701739</v>
      </c>
      <c r="J38" s="50">
        <f t="shared" si="1"/>
        <v>0</v>
      </c>
    </row>
    <row r="39" spans="1:10" s="25" customFormat="1" x14ac:dyDescent="0.2">
      <c r="A39" s="28">
        <v>24126</v>
      </c>
      <c r="B39" s="28">
        <v>21970</v>
      </c>
      <c r="C39" s="6" t="s">
        <v>347</v>
      </c>
      <c r="D39" s="168">
        <v>89866</v>
      </c>
      <c r="E39" s="182"/>
      <c r="F39" s="183"/>
      <c r="G39" s="28">
        <f t="shared" ref="G39:G52" si="8">+D39-F39</f>
        <v>89866</v>
      </c>
      <c r="H39" s="50">
        <f t="shared" si="7"/>
        <v>1</v>
      </c>
      <c r="I39" s="50">
        <f t="shared" si="3"/>
        <v>1</v>
      </c>
      <c r="J39" s="50">
        <f t="shared" ref="J39:J52" si="9">+I39-H39</f>
        <v>0</v>
      </c>
    </row>
    <row r="40" spans="1:10" s="25" customFormat="1" x14ac:dyDescent="0.2">
      <c r="A40" s="28"/>
      <c r="B40" s="28"/>
      <c r="C40" s="6" t="s">
        <v>190</v>
      </c>
      <c r="D40" s="168">
        <v>10365858</v>
      </c>
      <c r="E40" s="3">
        <v>2124840.0600000005</v>
      </c>
      <c r="F40" s="180">
        <v>8031267.3499999978</v>
      </c>
      <c r="G40" s="28">
        <f t="shared" si="8"/>
        <v>2334590.6500000022</v>
      </c>
      <c r="H40" s="50">
        <f t="shared" si="7"/>
        <v>0.2252192389670013</v>
      </c>
      <c r="I40" s="50">
        <f t="shared" si="3"/>
        <v>0.2252192389670013</v>
      </c>
      <c r="J40" s="50">
        <f t="shared" si="9"/>
        <v>0</v>
      </c>
    </row>
    <row r="41" spans="1:10" s="25" customFormat="1" x14ac:dyDescent="0.2">
      <c r="A41" s="28"/>
      <c r="B41" s="28"/>
      <c r="C41" s="6" t="s">
        <v>191</v>
      </c>
      <c r="D41" s="168">
        <v>4288099</v>
      </c>
      <c r="E41" s="3">
        <v>706770.37999999989</v>
      </c>
      <c r="F41" s="180">
        <v>2890885.5900000003</v>
      </c>
      <c r="G41" s="28">
        <f t="shared" si="8"/>
        <v>1397213.4099999997</v>
      </c>
      <c r="H41" s="50">
        <f t="shared" si="7"/>
        <v>0.3258351567909229</v>
      </c>
      <c r="I41" s="50">
        <f t="shared" si="3"/>
        <v>0.3258351567909229</v>
      </c>
      <c r="J41" s="50">
        <f t="shared" si="9"/>
        <v>0</v>
      </c>
    </row>
    <row r="42" spans="1:10" s="25" customFormat="1" x14ac:dyDescent="0.2">
      <c r="A42" s="28"/>
      <c r="B42" s="28"/>
      <c r="C42" s="6" t="s">
        <v>348</v>
      </c>
      <c r="D42" s="168">
        <v>10000000</v>
      </c>
      <c r="E42" s="3">
        <v>2500000.0199999996</v>
      </c>
      <c r="F42" s="180">
        <v>10000000</v>
      </c>
      <c r="G42" s="28">
        <f t="shared" si="8"/>
        <v>0</v>
      </c>
      <c r="H42" s="50">
        <f t="shared" si="7"/>
        <v>0</v>
      </c>
      <c r="I42" s="50">
        <f t="shared" si="3"/>
        <v>0</v>
      </c>
      <c r="J42" s="50">
        <f t="shared" si="9"/>
        <v>0</v>
      </c>
    </row>
    <row r="43" spans="1:10" s="25" customFormat="1" x14ac:dyDescent="0.2">
      <c r="A43" s="28"/>
      <c r="B43" s="28"/>
      <c r="C43" s="6" t="s">
        <v>349</v>
      </c>
      <c r="D43" s="168">
        <v>584229</v>
      </c>
      <c r="E43" s="3">
        <v>170072.5</v>
      </c>
      <c r="F43" s="180">
        <v>517864.74000000005</v>
      </c>
      <c r="G43" s="28">
        <f t="shared" si="8"/>
        <v>66364.259999999951</v>
      </c>
      <c r="H43" s="50">
        <f t="shared" si="7"/>
        <v>0.1135928890897233</v>
      </c>
      <c r="I43" s="50">
        <f t="shared" si="3"/>
        <v>0.1135928890897233</v>
      </c>
      <c r="J43" s="50">
        <f t="shared" si="9"/>
        <v>0</v>
      </c>
    </row>
    <row r="44" spans="1:10" s="25" customFormat="1" x14ac:dyDescent="0.2">
      <c r="A44" s="28"/>
      <c r="B44" s="28"/>
      <c r="C44" s="6" t="s">
        <v>192</v>
      </c>
      <c r="D44" s="168">
        <v>36531</v>
      </c>
      <c r="E44" s="3">
        <v>10688.16</v>
      </c>
      <c r="F44" s="180">
        <v>36666.449999999997</v>
      </c>
      <c r="G44" s="28">
        <f t="shared" si="8"/>
        <v>-135.44999999999709</v>
      </c>
      <c r="H44" s="50">
        <f t="shared" si="7"/>
        <v>-3.7078098053707014E-3</v>
      </c>
      <c r="I44" s="50">
        <f t="shared" si="3"/>
        <v>-3.7078098053707014E-3</v>
      </c>
      <c r="J44" s="50">
        <f t="shared" si="9"/>
        <v>0</v>
      </c>
    </row>
    <row r="45" spans="1:10" s="25" customFormat="1" x14ac:dyDescent="0.2">
      <c r="A45" s="28"/>
      <c r="B45" s="28"/>
      <c r="C45" s="6" t="s">
        <v>350</v>
      </c>
      <c r="D45" s="168">
        <v>95033</v>
      </c>
      <c r="E45" s="3">
        <v>43961.59</v>
      </c>
      <c r="F45" s="180">
        <v>87401.72</v>
      </c>
      <c r="G45" s="28">
        <f t="shared" si="8"/>
        <v>7631.2799999999988</v>
      </c>
      <c r="H45" s="50">
        <f t="shared" si="7"/>
        <v>8.0301368998137473E-2</v>
      </c>
      <c r="I45" s="50">
        <f t="shared" si="3"/>
        <v>8.0301368998137473E-2</v>
      </c>
      <c r="J45" s="50">
        <f t="shared" si="9"/>
        <v>0</v>
      </c>
    </row>
    <row r="46" spans="1:10" s="25" customFormat="1" x14ac:dyDescent="0.2">
      <c r="A46" s="28"/>
      <c r="B46" s="28"/>
      <c r="C46" s="6" t="s">
        <v>351</v>
      </c>
      <c r="D46" s="168">
        <v>1103382</v>
      </c>
      <c r="E46" s="3">
        <v>285712.17999999988</v>
      </c>
      <c r="F46" s="180">
        <v>1019558.2400000001</v>
      </c>
      <c r="G46" s="28">
        <f t="shared" si="8"/>
        <v>83823.759999999893</v>
      </c>
      <c r="H46" s="50">
        <f t="shared" si="7"/>
        <v>7.5969845438841568E-2</v>
      </c>
      <c r="I46" s="50">
        <f t="shared" si="3"/>
        <v>7.5969845438841568E-2</v>
      </c>
      <c r="J46" s="50">
        <f t="shared" si="9"/>
        <v>0</v>
      </c>
    </row>
    <row r="47" spans="1:10" s="25" customFormat="1" x14ac:dyDescent="0.2">
      <c r="A47" s="28"/>
      <c r="B47" s="28"/>
      <c r="C47" s="6" t="s">
        <v>193</v>
      </c>
      <c r="D47" s="168">
        <v>475856</v>
      </c>
      <c r="E47" s="3">
        <v>86045.58</v>
      </c>
      <c r="F47" s="180">
        <v>323495.13000000006</v>
      </c>
      <c r="G47" s="28">
        <f t="shared" si="8"/>
        <v>152360.86999999994</v>
      </c>
      <c r="H47" s="50">
        <f t="shared" si="7"/>
        <v>0.3201827233448773</v>
      </c>
      <c r="I47" s="50">
        <f t="shared" si="3"/>
        <v>0.3201827233448773</v>
      </c>
      <c r="J47" s="50">
        <f t="shared" si="9"/>
        <v>0</v>
      </c>
    </row>
    <row r="48" spans="1:10" s="25" customFormat="1" x14ac:dyDescent="0.2">
      <c r="A48" s="28"/>
      <c r="B48" s="28"/>
      <c r="C48" s="6" t="s">
        <v>352</v>
      </c>
      <c r="D48" s="168">
        <v>350665</v>
      </c>
      <c r="E48" s="3">
        <v>97987.109999999986</v>
      </c>
      <c r="F48" s="180">
        <v>243860.06000000006</v>
      </c>
      <c r="G48" s="28">
        <f t="shared" si="8"/>
        <v>106804.93999999994</v>
      </c>
      <c r="H48" s="50">
        <f t="shared" si="7"/>
        <v>0.30457827271042148</v>
      </c>
      <c r="I48" s="50">
        <f t="shared" si="3"/>
        <v>0.30457827271042148</v>
      </c>
      <c r="J48" s="50">
        <f t="shared" si="9"/>
        <v>0</v>
      </c>
    </row>
    <row r="49" spans="1:13" s="25" customFormat="1" x14ac:dyDescent="0.2">
      <c r="A49" s="28"/>
      <c r="B49" s="28"/>
      <c r="C49" s="6" t="s">
        <v>194</v>
      </c>
      <c r="D49" s="168">
        <v>53845</v>
      </c>
      <c r="E49" s="3">
        <v>10000</v>
      </c>
      <c r="F49" s="180">
        <v>20000</v>
      </c>
      <c r="G49" s="28">
        <f t="shared" si="8"/>
        <v>33845</v>
      </c>
      <c r="H49" s="50">
        <f t="shared" ref="H49:H52" si="10">+G49/D49</f>
        <v>0.62856346921719752</v>
      </c>
      <c r="I49" s="50">
        <f t="shared" si="3"/>
        <v>0.62856346921719752</v>
      </c>
      <c r="J49" s="50">
        <f t="shared" si="9"/>
        <v>0</v>
      </c>
    </row>
    <row r="50" spans="1:13" s="25" customFormat="1" x14ac:dyDescent="0.2">
      <c r="A50" s="28"/>
      <c r="B50" s="28"/>
      <c r="C50" s="6" t="s">
        <v>353</v>
      </c>
      <c r="D50" s="168">
        <v>2371924</v>
      </c>
      <c r="E50" s="3">
        <v>553143.32000000007</v>
      </c>
      <c r="F50" s="180">
        <v>1864716.76</v>
      </c>
      <c r="G50" s="28">
        <f t="shared" si="8"/>
        <v>507207.24</v>
      </c>
      <c r="H50" s="50">
        <f t="shared" si="10"/>
        <v>0.21383789699838612</v>
      </c>
      <c r="I50" s="50">
        <f t="shared" si="3"/>
        <v>0.21383789699838612</v>
      </c>
      <c r="J50" s="50">
        <f t="shared" si="9"/>
        <v>0</v>
      </c>
    </row>
    <row r="51" spans="1:13" s="25" customFormat="1" x14ac:dyDescent="0.2">
      <c r="A51" s="28"/>
      <c r="B51" s="28"/>
      <c r="C51" s="6" t="s">
        <v>195</v>
      </c>
      <c r="D51" s="168">
        <v>3127269</v>
      </c>
      <c r="E51" s="3">
        <v>300681.73000000021</v>
      </c>
      <c r="F51" s="180">
        <v>3257952.0500000003</v>
      </c>
      <c r="G51" s="28">
        <f t="shared" si="8"/>
        <v>-130683.05000000028</v>
      </c>
      <c r="H51" s="50">
        <f t="shared" si="10"/>
        <v>-4.1788234398767832E-2</v>
      </c>
      <c r="I51" s="50">
        <f t="shared" si="3"/>
        <v>-4.1788234398767832E-2</v>
      </c>
      <c r="J51" s="50">
        <f t="shared" si="9"/>
        <v>0</v>
      </c>
    </row>
    <row r="52" spans="1:13" s="25" customFormat="1" ht="15" x14ac:dyDescent="0.25">
      <c r="A52" s="28">
        <v>9000</v>
      </c>
      <c r="B52" s="28">
        <v>4500</v>
      </c>
      <c r="C52" s="175" t="s">
        <v>354</v>
      </c>
      <c r="D52" s="176">
        <v>2465430</v>
      </c>
      <c r="E52" s="3">
        <v>617657.46</v>
      </c>
      <c r="F52" s="180">
        <v>2470630.04</v>
      </c>
      <c r="G52" s="28">
        <f t="shared" si="8"/>
        <v>-5200.0400000000373</v>
      </c>
      <c r="H52" s="50">
        <f t="shared" si="10"/>
        <v>-2.1091817654526946E-3</v>
      </c>
      <c r="I52" s="50">
        <f t="shared" si="3"/>
        <v>-2.1091817654526946E-3</v>
      </c>
      <c r="J52" s="50">
        <f t="shared" si="9"/>
        <v>0</v>
      </c>
    </row>
    <row r="53" spans="1:13" s="34" customFormat="1" x14ac:dyDescent="0.2">
      <c r="A53" s="36">
        <f>SUM(A7:A52)</f>
        <v>15005284.220000003</v>
      </c>
      <c r="B53" s="36">
        <f>SUM(B7:B52)</f>
        <v>14870374</v>
      </c>
      <c r="C53" s="34" t="s">
        <v>34</v>
      </c>
      <c r="D53" s="173">
        <f>SUM(D7:D52)</f>
        <v>74724623</v>
      </c>
      <c r="E53" s="36">
        <f>SUM(E7:E52)</f>
        <v>17338273.380000003</v>
      </c>
      <c r="F53" s="173">
        <f>SUM(F7:F52)</f>
        <v>65867586.790000014</v>
      </c>
      <c r="G53" s="36">
        <f>SUM(G7:G52)</f>
        <v>8857036.2100000046</v>
      </c>
      <c r="H53" s="49">
        <f>+G53/D53</f>
        <v>0.11852901833977811</v>
      </c>
      <c r="I53" s="49">
        <v>0.41670000000000001</v>
      </c>
      <c r="J53" s="49">
        <f>+I53-H53</f>
        <v>0.29817098166022193</v>
      </c>
    </row>
    <row r="54" spans="1:13" s="25" customFormat="1" x14ac:dyDescent="0.2">
      <c r="D54" s="174"/>
      <c r="E54" s="28"/>
      <c r="F54" s="174"/>
      <c r="G54" s="28"/>
      <c r="H54" s="50"/>
      <c r="I54" s="50"/>
      <c r="J54" s="50"/>
    </row>
    <row r="55" spans="1:13" x14ac:dyDescent="0.2">
      <c r="C55" s="6"/>
      <c r="H55" s="5"/>
      <c r="I55" s="5"/>
      <c r="J55" s="5"/>
      <c r="K55" s="6"/>
      <c r="L55" s="6"/>
      <c r="M55" s="6"/>
    </row>
    <row r="56" spans="1:13" x14ac:dyDescent="0.2">
      <c r="C56" s="6"/>
      <c r="H56" s="5"/>
      <c r="I56" s="5"/>
      <c r="J56" s="5"/>
      <c r="K56" s="6"/>
      <c r="L56" s="6"/>
      <c r="M56" s="6"/>
    </row>
  </sheetData>
  <phoneticPr fontId="3" type="noConversion"/>
  <pageMargins left="0.19" right="0.23" top="0.14000000000000001" bottom="0.11" header="0.14000000000000001" footer="0.2"/>
  <pageSetup scale="87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Z58"/>
  <sheetViews>
    <sheetView workbookViewId="0">
      <pane xSplit="2" ySplit="4" topLeftCell="H11" activePane="bottomRight" state="frozen"/>
      <selection pane="topRight" activeCell="C1" sqref="C1"/>
      <selection pane="bottomLeft" activeCell="A5" sqref="A5"/>
      <selection pane="bottomRight" activeCell="W11" sqref="W11"/>
    </sheetView>
  </sheetViews>
  <sheetFormatPr defaultColWidth="9.140625" defaultRowHeight="12.75" x14ac:dyDescent="0.2"/>
  <cols>
    <col min="1" max="1" width="11.28515625" style="38" customWidth="1"/>
    <col min="2" max="2" width="67.5703125" style="2" bestFit="1" customWidth="1"/>
    <col min="3" max="3" width="12.7109375" style="2" bestFit="1" customWidth="1"/>
    <col min="4" max="4" width="10.140625" style="2" customWidth="1"/>
    <col min="5" max="5" width="0" style="2" hidden="1" customWidth="1"/>
    <col min="6" max="6" width="11.7109375" style="2" bestFit="1" customWidth="1"/>
    <col min="7" max="7" width="12.7109375" style="2" bestFit="1" customWidth="1"/>
    <col min="8" max="9" width="11.7109375" style="2" bestFit="1" customWidth="1"/>
    <col min="10" max="10" width="10.28515625" style="2" bestFit="1" customWidth="1"/>
    <col min="11" max="12" width="10.140625" style="2" customWidth="1"/>
    <col min="13" max="13" width="11.7109375" style="2" bestFit="1" customWidth="1"/>
    <col min="14" max="14" width="9.28515625" style="2" bestFit="1" customWidth="1"/>
    <col min="15" max="15" width="10.140625" style="2" bestFit="1" customWidth="1"/>
    <col min="16" max="16" width="9.28515625" style="2" bestFit="1" customWidth="1"/>
    <col min="17" max="18" width="11.7109375" style="2" bestFit="1" customWidth="1"/>
    <col min="19" max="19" width="10.140625" style="2" bestFit="1" customWidth="1"/>
    <col min="20" max="21" width="11.7109375" style="2" bestFit="1" customWidth="1"/>
    <col min="22" max="22" width="13.7109375" style="2" bestFit="1" customWidth="1"/>
    <col min="23" max="23" width="16.28515625" style="3" bestFit="1" customWidth="1"/>
    <col min="24" max="26" width="9.140625" style="3"/>
    <col min="27" max="16384" width="9.140625" style="2"/>
  </cols>
  <sheetData>
    <row r="2" spans="1:26" x14ac:dyDescent="0.2">
      <c r="B2" s="1" t="s">
        <v>152</v>
      </c>
    </row>
    <row r="3" spans="1:26" x14ac:dyDescent="0.2">
      <c r="B3" s="1"/>
    </row>
    <row r="4" spans="1:26" s="1" customFormat="1" x14ac:dyDescent="0.2">
      <c r="A4" s="39" t="s">
        <v>56</v>
      </c>
      <c r="C4" s="1" t="s">
        <v>53</v>
      </c>
      <c r="D4" s="1" t="s">
        <v>104</v>
      </c>
      <c r="E4" s="1" t="s">
        <v>80</v>
      </c>
      <c r="F4" s="1" t="s">
        <v>105</v>
      </c>
      <c r="G4" s="1" t="s">
        <v>85</v>
      </c>
      <c r="H4" s="1" t="s">
        <v>86</v>
      </c>
      <c r="I4" s="1" t="s">
        <v>87</v>
      </c>
      <c r="J4" s="1" t="s">
        <v>81</v>
      </c>
      <c r="K4" s="1" t="s">
        <v>91</v>
      </c>
      <c r="L4" s="1" t="s">
        <v>118</v>
      </c>
      <c r="M4" s="1" t="s">
        <v>60</v>
      </c>
      <c r="N4" s="1" t="s">
        <v>82</v>
      </c>
      <c r="O4" s="1" t="s">
        <v>59</v>
      </c>
      <c r="P4" s="1" t="s">
        <v>83</v>
      </c>
      <c r="Q4" s="1" t="s">
        <v>88</v>
      </c>
      <c r="R4" s="1" t="s">
        <v>89</v>
      </c>
      <c r="S4" s="1" t="s">
        <v>90</v>
      </c>
      <c r="T4" s="1" t="s">
        <v>106</v>
      </c>
      <c r="U4" s="1" t="s">
        <v>107</v>
      </c>
      <c r="V4" s="65" t="s">
        <v>12</v>
      </c>
      <c r="W4" s="84"/>
      <c r="X4" s="84"/>
      <c r="Y4" s="84"/>
      <c r="Z4" s="84"/>
    </row>
    <row r="5" spans="1:26" s="1" customFormat="1" x14ac:dyDescent="0.2">
      <c r="A5" s="39"/>
      <c r="W5" s="84"/>
      <c r="X5" s="84"/>
      <c r="Y5" s="84"/>
      <c r="Z5" s="84"/>
    </row>
    <row r="6" spans="1:26" s="1" customFormat="1" x14ac:dyDescent="0.2">
      <c r="A6" s="39"/>
      <c r="B6" s="1" t="s">
        <v>153</v>
      </c>
      <c r="C6" s="1">
        <v>17000168.510000002</v>
      </c>
      <c r="D6" s="1">
        <v>170664.23</v>
      </c>
      <c r="F6" s="1">
        <v>148855.15</v>
      </c>
      <c r="G6" s="1">
        <v>350471.47</v>
      </c>
      <c r="H6" s="1">
        <v>255068.35</v>
      </c>
      <c r="I6" s="1">
        <v>178243.17</v>
      </c>
      <c r="J6" s="1">
        <v>127929.69</v>
      </c>
      <c r="K6" s="1">
        <v>718518.71</v>
      </c>
      <c r="L6" s="1">
        <v>12153.27</v>
      </c>
      <c r="M6" s="1">
        <v>191.3</v>
      </c>
      <c r="N6" s="1">
        <v>11491.8</v>
      </c>
      <c r="O6" s="1">
        <v>218731.11</v>
      </c>
      <c r="P6" s="1">
        <v>12957.35</v>
      </c>
      <c r="Q6" s="1">
        <v>679558.29</v>
      </c>
      <c r="R6" s="1">
        <v>298441.24</v>
      </c>
      <c r="S6" s="1">
        <v>1150673.54</v>
      </c>
      <c r="T6" s="1">
        <v>1606725.67</v>
      </c>
      <c r="U6" s="1">
        <v>0.92</v>
      </c>
      <c r="V6" s="1">
        <f>SUM(C6:U6)</f>
        <v>22940843.770000003</v>
      </c>
      <c r="W6" s="84"/>
      <c r="X6" s="84"/>
      <c r="Y6" s="84"/>
      <c r="Z6" s="84"/>
    </row>
    <row r="7" spans="1:26" s="1" customFormat="1" x14ac:dyDescent="0.2">
      <c r="A7" s="39"/>
      <c r="W7" s="84"/>
      <c r="X7" s="84"/>
      <c r="Y7" s="84"/>
      <c r="Z7" s="84"/>
    </row>
    <row r="8" spans="1:26" s="1" customFormat="1" x14ac:dyDescent="0.2">
      <c r="A8" s="39"/>
      <c r="B8" s="1" t="s">
        <v>57</v>
      </c>
      <c r="C8" s="1">
        <v>48830827</v>
      </c>
      <c r="D8" s="1">
        <v>850000</v>
      </c>
      <c r="E8" s="1">
        <v>0</v>
      </c>
      <c r="F8" s="1">
        <v>2820980</v>
      </c>
      <c r="G8" s="1">
        <v>46246619</v>
      </c>
      <c r="H8" s="1">
        <v>434477</v>
      </c>
      <c r="I8" s="1">
        <v>1718100</v>
      </c>
      <c r="J8" s="1">
        <v>63700</v>
      </c>
      <c r="K8" s="1">
        <v>56550</v>
      </c>
      <c r="L8" s="1">
        <v>0</v>
      </c>
      <c r="M8" s="1">
        <v>2270363</v>
      </c>
      <c r="N8" s="1">
        <v>3475</v>
      </c>
      <c r="O8" s="1">
        <v>134600</v>
      </c>
      <c r="P8" s="1">
        <v>0</v>
      </c>
      <c r="Q8" s="1">
        <v>613380</v>
      </c>
      <c r="R8" s="1">
        <v>2781538</v>
      </c>
      <c r="S8" s="1">
        <v>13256119</v>
      </c>
      <c r="T8" s="1">
        <v>3645512</v>
      </c>
      <c r="U8" s="1">
        <v>3819704</v>
      </c>
      <c r="V8" s="1">
        <f t="shared" ref="V8:V25" si="0">SUM(C8:U8)</f>
        <v>127545944</v>
      </c>
      <c r="W8" s="84"/>
      <c r="X8" s="84"/>
      <c r="Y8" s="84"/>
      <c r="Z8" s="84"/>
    </row>
    <row r="9" spans="1:26" x14ac:dyDescent="0.2">
      <c r="V9" s="1">
        <f t="shared" si="0"/>
        <v>0</v>
      </c>
    </row>
    <row r="10" spans="1:26" x14ac:dyDescent="0.2">
      <c r="A10" s="38" t="s">
        <v>165</v>
      </c>
      <c r="B10" s="2" t="s">
        <v>166</v>
      </c>
      <c r="J10" s="2">
        <v>-1770</v>
      </c>
      <c r="O10" s="2">
        <v>3225</v>
      </c>
      <c r="Q10" s="2">
        <v>350471</v>
      </c>
      <c r="V10" s="1">
        <f t="shared" si="0"/>
        <v>351926</v>
      </c>
    </row>
    <row r="11" spans="1:26" x14ac:dyDescent="0.2">
      <c r="B11" s="54"/>
      <c r="V11" s="1">
        <f t="shared" si="0"/>
        <v>0</v>
      </c>
    </row>
    <row r="12" spans="1:26" x14ac:dyDescent="0.2">
      <c r="B12" s="54"/>
      <c r="V12" s="1">
        <f t="shared" si="0"/>
        <v>0</v>
      </c>
    </row>
    <row r="13" spans="1:26" x14ac:dyDescent="0.2">
      <c r="B13" s="54"/>
      <c r="V13" s="1">
        <f t="shared" si="0"/>
        <v>0</v>
      </c>
    </row>
    <row r="14" spans="1:26" x14ac:dyDescent="0.2">
      <c r="B14" s="54"/>
      <c r="V14" s="1">
        <f t="shared" si="0"/>
        <v>0</v>
      </c>
    </row>
    <row r="15" spans="1:26" x14ac:dyDescent="0.2">
      <c r="A15" s="55"/>
      <c r="B15" s="54"/>
      <c r="V15" s="1">
        <f t="shared" si="0"/>
        <v>0</v>
      </c>
    </row>
    <row r="16" spans="1:26" x14ac:dyDescent="0.2">
      <c r="A16" s="55"/>
      <c r="B16" s="54"/>
      <c r="V16" s="1">
        <f t="shared" si="0"/>
        <v>0</v>
      </c>
    </row>
    <row r="17" spans="1:26" x14ac:dyDescent="0.2">
      <c r="A17" s="55"/>
      <c r="B17" s="54"/>
      <c r="V17" s="1">
        <f t="shared" si="0"/>
        <v>0</v>
      </c>
    </row>
    <row r="18" spans="1:26" x14ac:dyDescent="0.2">
      <c r="A18" s="55"/>
      <c r="V18" s="1">
        <f t="shared" si="0"/>
        <v>0</v>
      </c>
    </row>
    <row r="19" spans="1:26" x14ac:dyDescent="0.2">
      <c r="A19" s="55"/>
      <c r="B19" s="54"/>
      <c r="V19" s="1">
        <f t="shared" si="0"/>
        <v>0</v>
      </c>
    </row>
    <row r="20" spans="1:26" x14ac:dyDescent="0.2">
      <c r="A20" s="56"/>
      <c r="B20" s="54"/>
      <c r="V20" s="1">
        <f t="shared" si="0"/>
        <v>0</v>
      </c>
    </row>
    <row r="21" spans="1:26" x14ac:dyDescent="0.2">
      <c r="A21" s="55"/>
      <c r="B21" s="54"/>
      <c r="V21" s="1">
        <f t="shared" si="0"/>
        <v>0</v>
      </c>
    </row>
    <row r="22" spans="1:26" x14ac:dyDescent="0.2">
      <c r="A22" s="56"/>
      <c r="B22" s="54"/>
      <c r="V22" s="1">
        <f t="shared" si="0"/>
        <v>0</v>
      </c>
    </row>
    <row r="23" spans="1:26" x14ac:dyDescent="0.2">
      <c r="A23" s="55"/>
      <c r="V23" s="1">
        <f t="shared" si="0"/>
        <v>0</v>
      </c>
    </row>
    <row r="24" spans="1:26" x14ac:dyDescent="0.2">
      <c r="A24" s="55"/>
      <c r="V24" s="1">
        <f t="shared" si="0"/>
        <v>0</v>
      </c>
    </row>
    <row r="25" spans="1:26" x14ac:dyDescent="0.2">
      <c r="V25" s="1">
        <f t="shared" si="0"/>
        <v>0</v>
      </c>
    </row>
    <row r="26" spans="1:26" s="1" customFormat="1" x14ac:dyDescent="0.2">
      <c r="A26" s="39"/>
      <c r="B26" s="1" t="s">
        <v>84</v>
      </c>
      <c r="C26" s="1">
        <f>SUM(C8:C25)</f>
        <v>48830827</v>
      </c>
      <c r="D26" s="1">
        <f>SUM(D8:D25)</f>
        <v>850000</v>
      </c>
      <c r="E26" s="1">
        <f>SUM(E8:E25)</f>
        <v>0</v>
      </c>
      <c r="F26" s="1">
        <f>SUM(F8:F25)</f>
        <v>2820980</v>
      </c>
      <c r="G26" s="1">
        <f t="shared" ref="G26:T26" si="1">SUM(G8:G25)</f>
        <v>46246619</v>
      </c>
      <c r="H26" s="1">
        <f t="shared" si="1"/>
        <v>434477</v>
      </c>
      <c r="I26" s="1">
        <f t="shared" si="1"/>
        <v>1718100</v>
      </c>
      <c r="J26" s="1">
        <f t="shared" si="1"/>
        <v>61930</v>
      </c>
      <c r="K26" s="1">
        <f t="shared" si="1"/>
        <v>56550</v>
      </c>
      <c r="L26" s="1">
        <f t="shared" si="1"/>
        <v>0</v>
      </c>
      <c r="M26" s="1">
        <f t="shared" si="1"/>
        <v>2270363</v>
      </c>
      <c r="N26" s="1">
        <f t="shared" si="1"/>
        <v>3475</v>
      </c>
      <c r="O26" s="1">
        <f t="shared" si="1"/>
        <v>137825</v>
      </c>
      <c r="P26" s="1">
        <f t="shared" si="1"/>
        <v>0</v>
      </c>
      <c r="Q26" s="1">
        <f t="shared" si="1"/>
        <v>963851</v>
      </c>
      <c r="R26" s="1">
        <f t="shared" si="1"/>
        <v>2781538</v>
      </c>
      <c r="S26" s="1">
        <f t="shared" si="1"/>
        <v>13256119</v>
      </c>
      <c r="T26" s="1">
        <f t="shared" si="1"/>
        <v>3645512</v>
      </c>
      <c r="U26" s="1">
        <f>SUM(U8:U25)</f>
        <v>3819704</v>
      </c>
      <c r="V26" s="1">
        <f>SUM(V8:V25)</f>
        <v>127897870</v>
      </c>
      <c r="W26" s="84"/>
      <c r="X26" s="84"/>
      <c r="Y26" s="84"/>
      <c r="Z26" s="84"/>
    </row>
    <row r="27" spans="1:26" s="1" customFormat="1" x14ac:dyDescent="0.2">
      <c r="A27" s="39"/>
      <c r="W27" s="84"/>
      <c r="X27" s="85"/>
      <c r="Y27" s="84"/>
      <c r="Z27" s="84"/>
    </row>
    <row r="28" spans="1:26" s="1" customFormat="1" x14ac:dyDescent="0.2">
      <c r="A28" s="39"/>
      <c r="W28" s="84"/>
      <c r="X28" s="84"/>
      <c r="Y28" s="84"/>
      <c r="Z28" s="84"/>
    </row>
    <row r="29" spans="1:26" s="1" customFormat="1" x14ac:dyDescent="0.2">
      <c r="A29" s="39"/>
      <c r="B29" s="1" t="s">
        <v>49</v>
      </c>
      <c r="C29" s="1">
        <v>51098446</v>
      </c>
      <c r="D29" s="1">
        <v>975000</v>
      </c>
      <c r="E29" s="1">
        <v>0</v>
      </c>
      <c r="F29" s="1">
        <v>2820980</v>
      </c>
      <c r="G29" s="1">
        <v>46246619</v>
      </c>
      <c r="H29" s="1">
        <v>822462</v>
      </c>
      <c r="I29" s="1">
        <v>1842789</v>
      </c>
      <c r="J29" s="1">
        <v>182102</v>
      </c>
      <c r="K29" s="1">
        <v>623936</v>
      </c>
      <c r="L29" s="1">
        <v>10670</v>
      </c>
      <c r="M29" s="1">
        <v>2270363</v>
      </c>
      <c r="N29" s="1">
        <v>15204</v>
      </c>
      <c r="O29" s="1">
        <v>302698</v>
      </c>
      <c r="P29" s="1">
        <v>11292</v>
      </c>
      <c r="Q29" s="1">
        <v>1200000</v>
      </c>
      <c r="R29" s="1">
        <v>2960040</v>
      </c>
      <c r="S29" s="1">
        <v>13878792</v>
      </c>
      <c r="T29" s="1">
        <v>3198762</v>
      </c>
      <c r="U29" s="1">
        <v>3677964</v>
      </c>
      <c r="V29" s="1">
        <f t="shared" ref="V29:V50" si="2">SUM(C29:U29)</f>
        <v>132138119</v>
      </c>
      <c r="W29" s="85">
        <f>+V29*1%</f>
        <v>1321381.19</v>
      </c>
      <c r="X29" s="84"/>
      <c r="Y29" s="84"/>
      <c r="Z29" s="84"/>
    </row>
    <row r="30" spans="1:26" x14ac:dyDescent="0.2">
      <c r="V30" s="1">
        <f t="shared" si="2"/>
        <v>0</v>
      </c>
      <c r="W30" s="85"/>
    </row>
    <row r="31" spans="1:26" x14ac:dyDescent="0.2">
      <c r="A31" s="38" t="s">
        <v>165</v>
      </c>
      <c r="B31" s="2" t="s">
        <v>166</v>
      </c>
      <c r="C31" s="2">
        <v>8212</v>
      </c>
      <c r="G31" s="2">
        <v>350471</v>
      </c>
      <c r="H31" s="2">
        <v>-132917</v>
      </c>
      <c r="I31" s="2">
        <v>53554</v>
      </c>
      <c r="J31" s="2">
        <f>-1770+9528</f>
        <v>7758</v>
      </c>
      <c r="K31" s="2">
        <v>151133</v>
      </c>
      <c r="L31" s="2">
        <v>1483</v>
      </c>
      <c r="M31" s="2">
        <v>191</v>
      </c>
      <c r="N31" s="2">
        <v>-237</v>
      </c>
      <c r="O31" s="2">
        <f>3225+50633</f>
        <v>53858</v>
      </c>
      <c r="P31" s="2">
        <v>1665</v>
      </c>
      <c r="Q31" s="2">
        <f>350471+92938</f>
        <v>443409</v>
      </c>
      <c r="R31" s="2">
        <v>119939</v>
      </c>
      <c r="S31" s="2">
        <v>528001</v>
      </c>
      <c r="V31" s="1">
        <f t="shared" si="2"/>
        <v>1586520</v>
      </c>
      <c r="W31" s="3">
        <f>1586520-350471</f>
        <v>1236049</v>
      </c>
    </row>
    <row r="32" spans="1:26" x14ac:dyDescent="0.2">
      <c r="A32" s="86"/>
      <c r="B32" s="54"/>
      <c r="V32" s="1">
        <f t="shared" si="2"/>
        <v>0</v>
      </c>
    </row>
    <row r="33" spans="1:23" x14ac:dyDescent="0.2">
      <c r="V33" s="1">
        <f t="shared" si="2"/>
        <v>0</v>
      </c>
      <c r="W33" s="85"/>
    </row>
    <row r="34" spans="1:23" x14ac:dyDescent="0.2">
      <c r="B34" s="54"/>
      <c r="V34" s="1">
        <f t="shared" si="2"/>
        <v>0</v>
      </c>
    </row>
    <row r="35" spans="1:23" x14ac:dyDescent="0.2">
      <c r="B35" s="54"/>
      <c r="V35" s="1">
        <f t="shared" si="2"/>
        <v>0</v>
      </c>
    </row>
    <row r="36" spans="1:23" x14ac:dyDescent="0.2">
      <c r="B36" s="54"/>
      <c r="V36" s="1">
        <f t="shared" si="2"/>
        <v>0</v>
      </c>
    </row>
    <row r="37" spans="1:23" x14ac:dyDescent="0.2">
      <c r="B37" s="54"/>
      <c r="V37" s="1">
        <f t="shared" si="2"/>
        <v>0</v>
      </c>
    </row>
    <row r="38" spans="1:23" x14ac:dyDescent="0.2">
      <c r="A38" s="55"/>
      <c r="B38" s="54"/>
      <c r="V38" s="1">
        <f t="shared" si="2"/>
        <v>0</v>
      </c>
    </row>
    <row r="39" spans="1:23" x14ac:dyDescent="0.2">
      <c r="A39" s="55"/>
      <c r="B39" s="54"/>
      <c r="V39" s="1">
        <f t="shared" si="2"/>
        <v>0</v>
      </c>
    </row>
    <row r="40" spans="1:23" x14ac:dyDescent="0.2">
      <c r="A40" s="55"/>
      <c r="B40" s="54"/>
      <c r="V40" s="1">
        <f t="shared" si="2"/>
        <v>0</v>
      </c>
    </row>
    <row r="41" spans="1:23" x14ac:dyDescent="0.2">
      <c r="A41" s="55"/>
      <c r="B41" s="54"/>
      <c r="V41" s="1">
        <f t="shared" si="2"/>
        <v>0</v>
      </c>
    </row>
    <row r="42" spans="1:23" x14ac:dyDescent="0.2">
      <c r="A42" s="56"/>
      <c r="B42" s="54"/>
      <c r="V42" s="1">
        <f t="shared" si="2"/>
        <v>0</v>
      </c>
    </row>
    <row r="43" spans="1:23" x14ac:dyDescent="0.2">
      <c r="A43" s="55"/>
      <c r="B43" s="54"/>
      <c r="V43" s="1">
        <f t="shared" si="2"/>
        <v>0</v>
      </c>
    </row>
    <row r="44" spans="1:23" x14ac:dyDescent="0.2">
      <c r="A44" s="55"/>
      <c r="B44" s="54"/>
      <c r="V44" s="1">
        <f t="shared" si="2"/>
        <v>0</v>
      </c>
    </row>
    <row r="45" spans="1:23" x14ac:dyDescent="0.2">
      <c r="A45" s="55"/>
      <c r="V45" s="1">
        <f t="shared" si="2"/>
        <v>0</v>
      </c>
    </row>
    <row r="46" spans="1:23" x14ac:dyDescent="0.2">
      <c r="A46" s="55"/>
      <c r="V46" s="1">
        <f t="shared" si="2"/>
        <v>0</v>
      </c>
    </row>
    <row r="47" spans="1:23" x14ac:dyDescent="0.2">
      <c r="A47" s="55"/>
      <c r="B47" s="54"/>
      <c r="V47" s="1">
        <f t="shared" si="2"/>
        <v>0</v>
      </c>
    </row>
    <row r="48" spans="1:23" x14ac:dyDescent="0.2">
      <c r="A48" s="56"/>
      <c r="B48" s="54"/>
      <c r="V48" s="1">
        <f t="shared" si="2"/>
        <v>0</v>
      </c>
    </row>
    <row r="49" spans="1:26" x14ac:dyDescent="0.2">
      <c r="A49" s="55"/>
      <c r="B49" s="54"/>
      <c r="V49" s="1">
        <f t="shared" si="2"/>
        <v>0</v>
      </c>
    </row>
    <row r="50" spans="1:26" x14ac:dyDescent="0.2">
      <c r="V50" s="1">
        <f t="shared" si="2"/>
        <v>0</v>
      </c>
    </row>
    <row r="51" spans="1:26" s="1" customFormat="1" x14ac:dyDescent="0.2">
      <c r="A51" s="39"/>
      <c r="B51" s="1" t="s">
        <v>54</v>
      </c>
      <c r="C51" s="1">
        <f>SUM(C29:C50)</f>
        <v>51106658</v>
      </c>
      <c r="D51" s="1">
        <f>SUM(D29:D50)</f>
        <v>975000</v>
      </c>
      <c r="E51" s="1">
        <f>SUM(E29:E50)</f>
        <v>0</v>
      </c>
      <c r="F51" s="1">
        <f>SUM(F29:F50)</f>
        <v>2820980</v>
      </c>
      <c r="G51" s="1">
        <f t="shared" ref="G51:S51" si="3">SUM(G29:G50)</f>
        <v>46597090</v>
      </c>
      <c r="H51" s="1">
        <f t="shared" si="3"/>
        <v>689545</v>
      </c>
      <c r="I51" s="1">
        <f t="shared" si="3"/>
        <v>1896343</v>
      </c>
      <c r="J51" s="1">
        <f t="shared" si="3"/>
        <v>189860</v>
      </c>
      <c r="K51" s="1">
        <f t="shared" si="3"/>
        <v>775069</v>
      </c>
      <c r="L51" s="1">
        <f>SUM(L29:L50)</f>
        <v>12153</v>
      </c>
      <c r="M51" s="1">
        <f>SUM(M29:M50)</f>
        <v>2270554</v>
      </c>
      <c r="N51" s="1">
        <f t="shared" si="3"/>
        <v>14967</v>
      </c>
      <c r="O51" s="1">
        <f t="shared" si="3"/>
        <v>356556</v>
      </c>
      <c r="P51" s="1">
        <f t="shared" si="3"/>
        <v>12957</v>
      </c>
      <c r="Q51" s="1">
        <f t="shared" si="3"/>
        <v>1643409</v>
      </c>
      <c r="R51" s="1">
        <f t="shared" si="3"/>
        <v>3079979</v>
      </c>
      <c r="S51" s="1">
        <f t="shared" si="3"/>
        <v>14406793</v>
      </c>
      <c r="T51" s="1">
        <f>SUM(T29:T50)</f>
        <v>3198762</v>
      </c>
      <c r="U51" s="1">
        <f>SUM(U29:U50)</f>
        <v>3677964</v>
      </c>
      <c r="V51" s="1">
        <f>SUM(V29:V50)</f>
        <v>133724639</v>
      </c>
      <c r="W51" s="84">
        <f>+V51*1%</f>
        <v>1337246.3900000001</v>
      </c>
      <c r="X51" s="84"/>
      <c r="Y51" s="84"/>
      <c r="Z51" s="84"/>
    </row>
    <row r="53" spans="1:26" s="1" customFormat="1" x14ac:dyDescent="0.2">
      <c r="A53" s="39"/>
      <c r="B53" s="1" t="s">
        <v>154</v>
      </c>
      <c r="C53" s="1">
        <f t="shared" ref="C53:V53" si="4">+C6+C26-C51</f>
        <v>14724337.510000005</v>
      </c>
      <c r="D53" s="1">
        <f t="shared" si="4"/>
        <v>45664.229999999981</v>
      </c>
      <c r="E53" s="1">
        <f t="shared" si="4"/>
        <v>0</v>
      </c>
      <c r="F53" s="1">
        <f t="shared" si="4"/>
        <v>148855.14999999991</v>
      </c>
      <c r="G53" s="1">
        <f t="shared" si="4"/>
        <v>0.4699999988079071</v>
      </c>
      <c r="H53" s="1">
        <f t="shared" si="4"/>
        <v>0.34999999997671694</v>
      </c>
      <c r="I53" s="1">
        <f t="shared" si="4"/>
        <v>0.16999999992549419</v>
      </c>
      <c r="J53" s="1">
        <f t="shared" si="4"/>
        <v>-0.30999999999767169</v>
      </c>
      <c r="K53" s="1">
        <f t="shared" si="4"/>
        <v>-0.2900000000372529</v>
      </c>
      <c r="L53" s="1">
        <f>+L6+L26-L51</f>
        <v>0.27000000000043656</v>
      </c>
      <c r="M53" s="1">
        <f>+M6+M26-M51</f>
        <v>0.29999999981373549</v>
      </c>
      <c r="N53" s="1">
        <f t="shared" si="4"/>
        <v>-0.2000000000007276</v>
      </c>
      <c r="O53" s="1">
        <f t="shared" si="4"/>
        <v>0.10999999998603016</v>
      </c>
      <c r="P53" s="1">
        <f t="shared" si="4"/>
        <v>0.3500000000003638</v>
      </c>
      <c r="Q53" s="1">
        <f t="shared" si="4"/>
        <v>0.2900000000372529</v>
      </c>
      <c r="R53" s="1">
        <f t="shared" si="4"/>
        <v>0.24000000022351742</v>
      </c>
      <c r="S53" s="1">
        <f t="shared" si="4"/>
        <v>-0.46000000089406967</v>
      </c>
      <c r="T53" s="1">
        <f t="shared" si="4"/>
        <v>2053475.67</v>
      </c>
      <c r="U53" s="1">
        <f t="shared" si="4"/>
        <v>141740.91999999993</v>
      </c>
      <c r="V53" s="1">
        <f t="shared" si="4"/>
        <v>17114074.770000011</v>
      </c>
      <c r="W53" s="84"/>
      <c r="X53" s="84"/>
      <c r="Y53" s="84"/>
      <c r="Z53" s="84"/>
    </row>
    <row r="54" spans="1:26" x14ac:dyDescent="0.2">
      <c r="G54" s="54"/>
      <c r="I54" s="54"/>
      <c r="U54" s="54"/>
    </row>
    <row r="55" spans="1:26" x14ac:dyDescent="0.2">
      <c r="E55" s="1"/>
      <c r="F55" s="1"/>
      <c r="G55" s="1"/>
      <c r="H55" s="1"/>
      <c r="I55" s="54"/>
      <c r="J55" s="1"/>
      <c r="L55" s="1"/>
      <c r="M55" s="1"/>
      <c r="N55" s="1"/>
      <c r="O55" s="1"/>
      <c r="P55" s="1"/>
      <c r="U55" s="54"/>
    </row>
    <row r="56" spans="1:26" x14ac:dyDescent="0.2">
      <c r="E56" s="1"/>
      <c r="F56" s="1"/>
      <c r="G56" s="1"/>
      <c r="H56" s="1"/>
      <c r="I56" s="54"/>
      <c r="J56" s="1"/>
      <c r="K56" s="1"/>
      <c r="L56" s="1"/>
      <c r="M56" s="1"/>
      <c r="N56" s="1"/>
      <c r="O56" s="1"/>
      <c r="P56" s="1"/>
      <c r="U56" s="54"/>
    </row>
    <row r="57" spans="1:26" x14ac:dyDescent="0.2">
      <c r="I57" s="54"/>
    </row>
    <row r="58" spans="1:26" x14ac:dyDescent="0.2">
      <c r="I58" s="54"/>
    </row>
  </sheetData>
  <phoneticPr fontId="3" type="noConversion"/>
  <pageMargins left="0" right="0" top="0.2" bottom="0.2" header="0.2" footer="0.2"/>
  <pageSetup paperSize="17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77"/>
  <sheetViews>
    <sheetView zoomScaleNormal="100" workbookViewId="0">
      <pane xSplit="6" ySplit="8" topLeftCell="G31" activePane="bottomRight" state="frozen"/>
      <selection pane="topRight" activeCell="G1" sqref="G1"/>
      <selection pane="bottomLeft" activeCell="A9" sqref="A9"/>
      <selection pane="bottomRight" activeCell="Q53" sqref="Q53"/>
    </sheetView>
  </sheetViews>
  <sheetFormatPr defaultColWidth="9.140625" defaultRowHeight="12.75" x14ac:dyDescent="0.2"/>
  <cols>
    <col min="1" max="1" width="5.85546875" style="6" customWidth="1"/>
    <col min="2" max="2" width="36" style="6" customWidth="1"/>
    <col min="3" max="3" width="14" style="4" hidden="1" customWidth="1"/>
    <col min="4" max="6" width="12.140625" style="28" hidden="1" customWidth="1"/>
    <col min="7" max="7" width="12.140625" style="28" customWidth="1"/>
    <col min="8" max="9" width="12.7109375" style="4" customWidth="1"/>
    <col min="10" max="10" width="14.7109375" style="4" bestFit="1" customWidth="1"/>
    <col min="11" max="12" width="13.28515625" style="32" customWidth="1"/>
    <col min="13" max="13" width="13.140625" style="32" bestFit="1" customWidth="1"/>
    <col min="14" max="15" width="13.140625" style="32" customWidth="1"/>
    <col min="16" max="16" width="15" style="33" bestFit="1" customWidth="1"/>
    <col min="17" max="17" width="15.28515625" style="33" bestFit="1" customWidth="1"/>
    <col min="18" max="18" width="13.5703125" style="24" bestFit="1" customWidth="1"/>
    <col min="19" max="19" width="34.7109375" style="68" bestFit="1" customWidth="1"/>
    <col min="20" max="20" width="15" style="24" bestFit="1" customWidth="1"/>
    <col min="21" max="21" width="13.140625" style="24" bestFit="1" customWidth="1"/>
    <col min="22" max="25" width="9.140625" style="24"/>
    <col min="26" max="16384" width="9.140625" style="25"/>
  </cols>
  <sheetData>
    <row r="1" spans="1:25" s="34" customFormat="1" ht="15" x14ac:dyDescent="0.2">
      <c r="A1" s="23" t="s">
        <v>74</v>
      </c>
      <c r="B1" s="23"/>
      <c r="C1" s="10"/>
      <c r="D1" s="36"/>
      <c r="E1" s="36"/>
      <c r="F1" s="36"/>
      <c r="G1" s="36"/>
      <c r="H1" s="10"/>
      <c r="I1" s="10"/>
      <c r="J1" s="10"/>
      <c r="K1" s="57"/>
      <c r="L1" s="57"/>
      <c r="M1" s="57"/>
      <c r="N1" s="57"/>
      <c r="O1" s="57"/>
      <c r="P1" s="75"/>
      <c r="Q1" s="75"/>
      <c r="R1" s="29"/>
      <c r="S1" s="67"/>
      <c r="T1" s="29"/>
      <c r="U1" s="29"/>
      <c r="V1" s="29"/>
      <c r="W1" s="29"/>
      <c r="X1" s="29"/>
      <c r="Y1" s="29"/>
    </row>
    <row r="2" spans="1:25" s="34" customFormat="1" ht="15" x14ac:dyDescent="0.2">
      <c r="A2" s="23" t="s">
        <v>92</v>
      </c>
      <c r="B2" s="23"/>
      <c r="C2" s="10"/>
      <c r="D2" s="36"/>
      <c r="E2" s="36"/>
      <c r="F2" s="36"/>
      <c r="G2" s="36"/>
      <c r="H2" s="10"/>
      <c r="I2" s="10"/>
      <c r="J2" s="10"/>
      <c r="K2" s="57"/>
      <c r="L2" s="57"/>
      <c r="M2" s="58"/>
      <c r="N2" s="58"/>
      <c r="O2" s="58"/>
      <c r="P2" s="76"/>
      <c r="Q2" s="75"/>
      <c r="R2" s="29"/>
      <c r="S2" s="67"/>
      <c r="T2" s="29"/>
      <c r="U2" s="29"/>
      <c r="V2" s="29"/>
      <c r="W2" s="29"/>
      <c r="X2" s="29"/>
      <c r="Y2" s="29"/>
    </row>
    <row r="3" spans="1:25" s="34" customFormat="1" ht="15" x14ac:dyDescent="0.2">
      <c r="A3" s="23"/>
      <c r="B3" s="23"/>
      <c r="C3" s="10"/>
      <c r="D3" s="36"/>
      <c r="E3" s="36"/>
      <c r="F3" s="36"/>
      <c r="G3" s="36"/>
      <c r="H3" s="10"/>
      <c r="I3" s="10"/>
      <c r="J3" s="10"/>
      <c r="K3" s="57"/>
      <c r="L3" s="57"/>
      <c r="M3" s="57"/>
      <c r="N3" s="57"/>
      <c r="O3" s="57"/>
      <c r="P3" s="75"/>
      <c r="Q3" s="75"/>
      <c r="R3" s="29"/>
      <c r="S3" s="67"/>
      <c r="T3" s="29"/>
      <c r="U3" s="29"/>
      <c r="V3" s="29"/>
      <c r="W3" s="29"/>
      <c r="X3" s="29"/>
      <c r="Y3" s="29"/>
    </row>
    <row r="4" spans="1:25" s="34" customFormat="1" ht="15" x14ac:dyDescent="0.2">
      <c r="A4" s="23"/>
      <c r="B4" s="23"/>
      <c r="C4" s="26" t="s">
        <v>58</v>
      </c>
      <c r="D4" s="36"/>
      <c r="E4" s="36"/>
      <c r="F4" s="45"/>
      <c r="G4" s="36"/>
      <c r="H4" s="13" t="s">
        <v>149</v>
      </c>
      <c r="I4" s="13"/>
      <c r="J4" s="13"/>
      <c r="K4" s="59" t="s">
        <v>149</v>
      </c>
      <c r="L4" s="61"/>
      <c r="M4" s="59" t="s">
        <v>149</v>
      </c>
      <c r="N4" s="59"/>
      <c r="O4" s="59"/>
      <c r="P4" s="77"/>
      <c r="Q4" s="78" t="s">
        <v>149</v>
      </c>
      <c r="R4" s="29"/>
      <c r="S4" s="67"/>
      <c r="T4" s="29"/>
      <c r="U4" s="29"/>
      <c r="V4" s="29"/>
      <c r="W4" s="29"/>
      <c r="X4" s="29"/>
      <c r="Y4" s="29"/>
    </row>
    <row r="5" spans="1:25" ht="15" customHeight="1" x14ac:dyDescent="0.2">
      <c r="A5" s="34"/>
      <c r="B5" s="34"/>
      <c r="C5" s="36"/>
      <c r="D5" s="11" t="s">
        <v>78</v>
      </c>
      <c r="E5" s="11" t="s">
        <v>78</v>
      </c>
      <c r="F5" s="46"/>
      <c r="G5" s="11"/>
      <c r="H5" s="11" t="s">
        <v>76</v>
      </c>
      <c r="I5" s="11"/>
      <c r="J5" s="11" t="s">
        <v>113</v>
      </c>
      <c r="K5" s="21" t="s">
        <v>77</v>
      </c>
      <c r="L5" s="62" t="s">
        <v>149</v>
      </c>
      <c r="M5" s="21" t="s">
        <v>76</v>
      </c>
      <c r="N5" s="21"/>
      <c r="O5" s="21" t="s">
        <v>113</v>
      </c>
      <c r="P5" s="27"/>
      <c r="Q5" s="79" t="s">
        <v>77</v>
      </c>
    </row>
    <row r="6" spans="1:25" ht="15" customHeight="1" x14ac:dyDescent="0.2">
      <c r="A6" s="207"/>
      <c r="B6" s="207"/>
      <c r="C6" s="11" t="s">
        <v>13</v>
      </c>
      <c r="D6" s="11" t="s">
        <v>3</v>
      </c>
      <c r="E6" s="11" t="s">
        <v>75</v>
      </c>
      <c r="F6" s="47" t="s">
        <v>72</v>
      </c>
      <c r="G6" s="11" t="s">
        <v>114</v>
      </c>
      <c r="H6" s="11" t="s">
        <v>13</v>
      </c>
      <c r="I6" s="11"/>
      <c r="J6" s="11" t="s">
        <v>13</v>
      </c>
      <c r="K6" s="21" t="s">
        <v>13</v>
      </c>
      <c r="L6" s="62" t="s">
        <v>12</v>
      </c>
      <c r="M6" s="21" t="s">
        <v>73</v>
      </c>
      <c r="N6" s="21"/>
      <c r="O6" s="21" t="s">
        <v>73</v>
      </c>
      <c r="P6" s="27" t="s">
        <v>103</v>
      </c>
      <c r="Q6" s="79" t="s">
        <v>73</v>
      </c>
      <c r="R6" s="24" t="s">
        <v>150</v>
      </c>
    </row>
    <row r="7" spans="1:25" x14ac:dyDescent="0.2">
      <c r="A7" s="34" t="s">
        <v>1</v>
      </c>
      <c r="B7" s="41" t="s">
        <v>2</v>
      </c>
      <c r="C7" s="11" t="s">
        <v>4</v>
      </c>
      <c r="D7" s="11" t="s">
        <v>72</v>
      </c>
      <c r="E7" s="11" t="s">
        <v>72</v>
      </c>
      <c r="F7" s="47" t="s">
        <v>50</v>
      </c>
      <c r="G7" s="12">
        <v>43646</v>
      </c>
      <c r="H7" s="11" t="s">
        <v>3</v>
      </c>
      <c r="I7" s="11" t="s">
        <v>102</v>
      </c>
      <c r="J7" s="11" t="s">
        <v>112</v>
      </c>
      <c r="K7" s="21" t="s">
        <v>3</v>
      </c>
      <c r="L7" s="62" t="s">
        <v>115</v>
      </c>
      <c r="M7" s="21" t="s">
        <v>116</v>
      </c>
      <c r="N7" s="21" t="s">
        <v>102</v>
      </c>
      <c r="O7" s="21" t="s">
        <v>112</v>
      </c>
      <c r="P7" s="27" t="s">
        <v>72</v>
      </c>
      <c r="Q7" s="79" t="s">
        <v>3</v>
      </c>
      <c r="R7" s="24" t="s">
        <v>151</v>
      </c>
      <c r="S7" s="68" t="s">
        <v>119</v>
      </c>
    </row>
    <row r="8" spans="1:25" x14ac:dyDescent="0.2">
      <c r="A8" s="25"/>
      <c r="B8" s="25"/>
      <c r="C8" s="28"/>
      <c r="F8" s="46"/>
      <c r="H8" s="28"/>
      <c r="I8" s="28"/>
      <c r="J8" s="28"/>
      <c r="K8" s="44"/>
      <c r="L8" s="63"/>
      <c r="M8" s="44"/>
      <c r="N8" s="44"/>
      <c r="O8" s="44"/>
      <c r="P8" s="80"/>
      <c r="Q8" s="81"/>
      <c r="T8" s="24" t="s">
        <v>73</v>
      </c>
      <c r="U8" s="24" t="s">
        <v>145</v>
      </c>
    </row>
    <row r="9" spans="1:25" x14ac:dyDescent="0.2">
      <c r="A9" s="25">
        <v>102</v>
      </c>
      <c r="B9" s="25" t="s">
        <v>70</v>
      </c>
      <c r="C9" s="28"/>
      <c r="D9" s="28">
        <v>77474</v>
      </c>
      <c r="E9" s="28">
        <v>101848.91</v>
      </c>
      <c r="F9" s="48">
        <f t="shared" ref="F9:F25" si="0">+E9-D9</f>
        <v>24374.910000000003</v>
      </c>
      <c r="G9" s="42">
        <v>170664.23</v>
      </c>
      <c r="H9" s="28">
        <v>850000</v>
      </c>
      <c r="I9" s="28"/>
      <c r="J9" s="28"/>
      <c r="K9" s="44">
        <f>SUM(H9:J9)</f>
        <v>850000</v>
      </c>
      <c r="L9" s="63">
        <f>+G9+K9</f>
        <v>1020664.23</v>
      </c>
      <c r="M9" s="44">
        <v>975000</v>
      </c>
      <c r="N9" s="44"/>
      <c r="O9" s="44"/>
      <c r="P9" s="80"/>
      <c r="Q9" s="81">
        <f>SUM(M9:P9)</f>
        <v>975000</v>
      </c>
      <c r="R9" s="24">
        <f>+L9-Q9</f>
        <v>45664.229999999981</v>
      </c>
    </row>
    <row r="10" spans="1:25" s="31" customFormat="1" x14ac:dyDescent="0.2">
      <c r="A10" s="25">
        <v>140</v>
      </c>
      <c r="B10" s="25" t="s">
        <v>68</v>
      </c>
      <c r="C10" s="40"/>
      <c r="D10" s="40">
        <v>0</v>
      </c>
      <c r="E10" s="43">
        <v>170115.58</v>
      </c>
      <c r="F10" s="48">
        <f t="shared" si="0"/>
        <v>170115.58</v>
      </c>
      <c r="G10" s="42">
        <v>148855.15</v>
      </c>
      <c r="H10" s="40">
        <v>2820980</v>
      </c>
      <c r="I10" s="40"/>
      <c r="J10" s="40"/>
      <c r="K10" s="44">
        <f t="shared" ref="K10:K22" si="1">SUM(H10:J10)</f>
        <v>2820980</v>
      </c>
      <c r="L10" s="63">
        <f t="shared" ref="L10:L22" si="2">+G10+K10</f>
        <v>2969835.15</v>
      </c>
      <c r="M10" s="44">
        <v>2820980</v>
      </c>
      <c r="N10" s="44"/>
      <c r="O10" s="44"/>
      <c r="P10" s="80"/>
      <c r="Q10" s="81">
        <f t="shared" ref="Q10:Q22" si="3">SUM(M10:P10)</f>
        <v>2820980</v>
      </c>
      <c r="R10" s="24">
        <f t="shared" ref="R10:R26" si="4">+L10-Q10</f>
        <v>148855.14999999991</v>
      </c>
      <c r="S10" s="68"/>
      <c r="T10" s="30"/>
      <c r="U10" s="30"/>
      <c r="V10" s="30"/>
      <c r="W10" s="30"/>
      <c r="X10" s="30"/>
      <c r="Y10" s="30"/>
    </row>
    <row r="11" spans="1:25" s="100" customFormat="1" x14ac:dyDescent="0.2">
      <c r="A11" s="100">
        <v>205</v>
      </c>
      <c r="B11" s="100" t="s">
        <v>5</v>
      </c>
      <c r="C11" s="101"/>
      <c r="D11" s="101">
        <v>42215</v>
      </c>
      <c r="E11" s="102">
        <v>1242296.26</v>
      </c>
      <c r="F11" s="103">
        <f t="shared" si="0"/>
        <v>1200081.26</v>
      </c>
      <c r="G11" s="102">
        <v>350471.47</v>
      </c>
      <c r="H11" s="101">
        <v>46246619</v>
      </c>
      <c r="I11" s="101"/>
      <c r="J11" s="101"/>
      <c r="K11" s="104">
        <f t="shared" si="1"/>
        <v>46246619</v>
      </c>
      <c r="L11" s="104">
        <f t="shared" si="2"/>
        <v>46597090.469999999</v>
      </c>
      <c r="M11" s="104">
        <v>46246619</v>
      </c>
      <c r="N11" s="104"/>
      <c r="O11" s="104"/>
      <c r="P11" s="105">
        <v>350471.47</v>
      </c>
      <c r="Q11" s="105">
        <f t="shared" si="3"/>
        <v>46597090.469999999</v>
      </c>
      <c r="R11" s="106">
        <f t="shared" si="4"/>
        <v>0</v>
      </c>
      <c r="S11" s="107"/>
      <c r="T11" s="106"/>
      <c r="U11" s="106"/>
      <c r="V11" s="106"/>
      <c r="W11" s="106"/>
      <c r="X11" s="106"/>
      <c r="Y11" s="106"/>
    </row>
    <row r="12" spans="1:25" s="100" customFormat="1" x14ac:dyDescent="0.2">
      <c r="A12" s="100">
        <v>206</v>
      </c>
      <c r="B12" s="100" t="s">
        <v>6</v>
      </c>
      <c r="C12" s="101"/>
      <c r="D12" s="101">
        <v>577854</v>
      </c>
      <c r="E12" s="102">
        <v>431409.12</v>
      </c>
      <c r="F12" s="103">
        <f t="shared" si="0"/>
        <v>-146444.88</v>
      </c>
      <c r="G12" s="102">
        <v>255068.35</v>
      </c>
      <c r="H12" s="101">
        <v>434477</v>
      </c>
      <c r="I12" s="101"/>
      <c r="J12" s="101"/>
      <c r="K12" s="104">
        <f t="shared" si="1"/>
        <v>434477</v>
      </c>
      <c r="L12" s="104">
        <f t="shared" si="2"/>
        <v>689545.35</v>
      </c>
      <c r="M12" s="104">
        <v>822462</v>
      </c>
      <c r="N12" s="104"/>
      <c r="O12" s="104"/>
      <c r="P12" s="105">
        <v>-132916.65</v>
      </c>
      <c r="Q12" s="105">
        <f t="shared" si="3"/>
        <v>689545.35</v>
      </c>
      <c r="R12" s="106">
        <f t="shared" si="4"/>
        <v>0</v>
      </c>
      <c r="S12" s="107"/>
      <c r="T12" s="106"/>
      <c r="U12" s="106"/>
      <c r="V12" s="106"/>
      <c r="W12" s="106"/>
      <c r="X12" s="106"/>
      <c r="Y12" s="106"/>
    </row>
    <row r="13" spans="1:25" s="100" customFormat="1" x14ac:dyDescent="0.2">
      <c r="A13" s="100">
        <v>207</v>
      </c>
      <c r="B13" s="100" t="s">
        <v>7</v>
      </c>
      <c r="C13" s="101"/>
      <c r="D13" s="101">
        <v>186297</v>
      </c>
      <c r="E13" s="102">
        <v>295947.8</v>
      </c>
      <c r="F13" s="103">
        <f t="shared" si="0"/>
        <v>109650.79999999999</v>
      </c>
      <c r="G13" s="102">
        <v>178243.17</v>
      </c>
      <c r="H13" s="101">
        <v>1718100</v>
      </c>
      <c r="I13" s="101"/>
      <c r="J13" s="101"/>
      <c r="K13" s="104">
        <f t="shared" si="1"/>
        <v>1718100</v>
      </c>
      <c r="L13" s="104">
        <f t="shared" si="2"/>
        <v>1896343.17</v>
      </c>
      <c r="M13" s="104">
        <v>1842789</v>
      </c>
      <c r="N13" s="104"/>
      <c r="O13" s="104"/>
      <c r="P13" s="105">
        <v>53554.17</v>
      </c>
      <c r="Q13" s="105">
        <f t="shared" si="3"/>
        <v>1896343.17</v>
      </c>
      <c r="R13" s="106">
        <f t="shared" si="4"/>
        <v>0</v>
      </c>
      <c r="S13" s="107"/>
      <c r="T13" s="106"/>
      <c r="U13" s="106"/>
      <c r="V13" s="106"/>
      <c r="W13" s="106"/>
      <c r="X13" s="106"/>
      <c r="Y13" s="106"/>
    </row>
    <row r="14" spans="1:25" s="31" customFormat="1" x14ac:dyDescent="0.2">
      <c r="A14" s="31">
        <v>209</v>
      </c>
      <c r="B14" s="31" t="s">
        <v>62</v>
      </c>
      <c r="C14" s="40"/>
      <c r="D14" s="40">
        <v>64100</v>
      </c>
      <c r="E14" s="43">
        <v>117487.54</v>
      </c>
      <c r="F14" s="48">
        <f t="shared" si="0"/>
        <v>53387.539999999994</v>
      </c>
      <c r="G14" s="42">
        <v>127929.69</v>
      </c>
      <c r="H14" s="40">
        <v>63700</v>
      </c>
      <c r="I14" s="40">
        <v>-1770</v>
      </c>
      <c r="J14" s="40"/>
      <c r="K14" s="44">
        <f t="shared" si="1"/>
        <v>61930</v>
      </c>
      <c r="L14" s="63">
        <f t="shared" si="2"/>
        <v>189859.69</v>
      </c>
      <c r="M14" s="44">
        <v>182102</v>
      </c>
      <c r="N14" s="44">
        <v>-1770</v>
      </c>
      <c r="O14" s="44"/>
      <c r="P14" s="80">
        <v>9527.69</v>
      </c>
      <c r="Q14" s="81">
        <f t="shared" si="3"/>
        <v>189859.69</v>
      </c>
      <c r="R14" s="24">
        <f t="shared" si="4"/>
        <v>0</v>
      </c>
      <c r="S14" s="68"/>
      <c r="T14" s="30"/>
      <c r="U14" s="30"/>
      <c r="V14" s="30"/>
      <c r="W14" s="30"/>
      <c r="X14" s="30"/>
      <c r="Y14" s="30"/>
    </row>
    <row r="15" spans="1:25" s="31" customFormat="1" x14ac:dyDescent="0.2">
      <c r="A15" s="31">
        <v>210</v>
      </c>
      <c r="B15" s="31" t="s">
        <v>63</v>
      </c>
      <c r="C15" s="40"/>
      <c r="D15" s="40"/>
      <c r="E15" s="43"/>
      <c r="F15" s="48"/>
      <c r="G15" s="42">
        <v>718518.71</v>
      </c>
      <c r="H15" s="40">
        <v>56550</v>
      </c>
      <c r="I15" s="40"/>
      <c r="J15" s="40"/>
      <c r="K15" s="44">
        <f t="shared" si="1"/>
        <v>56550</v>
      </c>
      <c r="L15" s="63">
        <f t="shared" si="2"/>
        <v>775068.71</v>
      </c>
      <c r="M15" s="44">
        <v>623936</v>
      </c>
      <c r="N15" s="44"/>
      <c r="O15" s="44"/>
      <c r="P15" s="80">
        <v>151132.71</v>
      </c>
      <c r="Q15" s="81">
        <f t="shared" si="3"/>
        <v>775068.71</v>
      </c>
      <c r="R15" s="24">
        <f t="shared" si="4"/>
        <v>0</v>
      </c>
      <c r="S15" s="68"/>
      <c r="T15" s="30"/>
      <c r="U15" s="30"/>
      <c r="V15" s="30"/>
      <c r="W15" s="30"/>
      <c r="X15" s="30"/>
      <c r="Y15" s="30"/>
    </row>
    <row r="16" spans="1:25" s="31" customFormat="1" x14ac:dyDescent="0.2">
      <c r="A16" s="31">
        <v>211</v>
      </c>
      <c r="B16" s="31" t="s">
        <v>108</v>
      </c>
      <c r="C16" s="40"/>
      <c r="D16" s="40"/>
      <c r="E16" s="43"/>
      <c r="F16" s="48"/>
      <c r="G16" s="42">
        <v>12153.27</v>
      </c>
      <c r="H16" s="40">
        <v>0</v>
      </c>
      <c r="I16" s="40"/>
      <c r="J16" s="40"/>
      <c r="K16" s="44">
        <f t="shared" si="1"/>
        <v>0</v>
      </c>
      <c r="L16" s="63">
        <f t="shared" si="2"/>
        <v>12153.27</v>
      </c>
      <c r="M16" s="44">
        <v>10670</v>
      </c>
      <c r="N16" s="44"/>
      <c r="O16" s="44"/>
      <c r="P16" s="80">
        <v>1483.27</v>
      </c>
      <c r="Q16" s="81">
        <f t="shared" si="3"/>
        <v>12153.27</v>
      </c>
      <c r="R16" s="24">
        <f t="shared" si="4"/>
        <v>0</v>
      </c>
      <c r="S16" s="68"/>
      <c r="T16" s="30"/>
      <c r="U16" s="30"/>
      <c r="V16" s="30"/>
      <c r="W16" s="30"/>
      <c r="X16" s="30"/>
      <c r="Y16" s="30"/>
    </row>
    <row r="17" spans="1:25" s="31" customFormat="1" x14ac:dyDescent="0.2">
      <c r="A17" s="31">
        <v>219</v>
      </c>
      <c r="B17" s="31" t="s">
        <v>130</v>
      </c>
      <c r="C17" s="40"/>
      <c r="D17" s="40">
        <v>0</v>
      </c>
      <c r="E17" s="43">
        <v>48130.48</v>
      </c>
      <c r="F17" s="48">
        <f t="shared" si="0"/>
        <v>48130.48</v>
      </c>
      <c r="G17" s="42">
        <v>191.3</v>
      </c>
      <c r="H17" s="40">
        <v>2270363</v>
      </c>
      <c r="I17" s="40"/>
      <c r="J17" s="40"/>
      <c r="K17" s="44">
        <f t="shared" si="1"/>
        <v>2270363</v>
      </c>
      <c r="L17" s="63">
        <f t="shared" si="2"/>
        <v>2270554.2999999998</v>
      </c>
      <c r="M17" s="44">
        <v>2270363</v>
      </c>
      <c r="N17" s="44"/>
      <c r="O17" s="44"/>
      <c r="P17" s="80">
        <v>191.3</v>
      </c>
      <c r="Q17" s="81">
        <f t="shared" si="3"/>
        <v>2270554.2999999998</v>
      </c>
      <c r="R17" s="24">
        <f t="shared" si="4"/>
        <v>0</v>
      </c>
      <c r="S17" s="82"/>
      <c r="T17" s="30"/>
      <c r="U17" s="30"/>
      <c r="V17" s="30"/>
      <c r="W17" s="30"/>
      <c r="X17" s="30"/>
      <c r="Y17" s="30"/>
    </row>
    <row r="18" spans="1:25" s="31" customFormat="1" x14ac:dyDescent="0.2">
      <c r="A18" s="31">
        <v>226</v>
      </c>
      <c r="B18" s="31" t="s">
        <v>8</v>
      </c>
      <c r="C18" s="40"/>
      <c r="D18" s="40">
        <v>450</v>
      </c>
      <c r="E18" s="43">
        <v>4176.41</v>
      </c>
      <c r="F18" s="48">
        <f t="shared" si="0"/>
        <v>3726.41</v>
      </c>
      <c r="G18" s="42">
        <v>11491.8</v>
      </c>
      <c r="H18" s="40">
        <v>3475</v>
      </c>
      <c r="I18" s="40"/>
      <c r="J18" s="40"/>
      <c r="K18" s="44">
        <f t="shared" si="1"/>
        <v>3475</v>
      </c>
      <c r="L18" s="63">
        <f t="shared" si="2"/>
        <v>14966.8</v>
      </c>
      <c r="M18" s="44">
        <v>15204</v>
      </c>
      <c r="N18" s="44"/>
      <c r="O18" s="44"/>
      <c r="P18" s="80">
        <v>-237.2</v>
      </c>
      <c r="Q18" s="81">
        <f t="shared" si="3"/>
        <v>14966.8</v>
      </c>
      <c r="R18" s="24">
        <f t="shared" si="4"/>
        <v>0</v>
      </c>
      <c r="S18" s="68"/>
      <c r="T18" s="30"/>
      <c r="U18" s="30"/>
      <c r="V18" s="30"/>
      <c r="W18" s="30"/>
      <c r="X18" s="30"/>
      <c r="Y18" s="30"/>
    </row>
    <row r="19" spans="1:25" s="31" customFormat="1" x14ac:dyDescent="0.2">
      <c r="A19" s="31">
        <v>228</v>
      </c>
      <c r="B19" s="31" t="s">
        <v>67</v>
      </c>
      <c r="C19" s="40"/>
      <c r="D19" s="40">
        <v>6143</v>
      </c>
      <c r="E19" s="43">
        <v>137394.38</v>
      </c>
      <c r="F19" s="48">
        <f t="shared" si="0"/>
        <v>131251.38</v>
      </c>
      <c r="G19" s="42">
        <v>218731.11</v>
      </c>
      <c r="H19" s="40">
        <v>134600</v>
      </c>
      <c r="I19" s="40">
        <v>3225</v>
      </c>
      <c r="J19" s="40"/>
      <c r="K19" s="44">
        <f t="shared" si="1"/>
        <v>137825</v>
      </c>
      <c r="L19" s="63">
        <f t="shared" si="2"/>
        <v>356556.11</v>
      </c>
      <c r="M19" s="44">
        <v>302698</v>
      </c>
      <c r="N19" s="44">
        <f>3225</f>
        <v>3225</v>
      </c>
      <c r="O19" s="44"/>
      <c r="P19" s="80">
        <v>50633.11</v>
      </c>
      <c r="Q19" s="81">
        <f t="shared" si="3"/>
        <v>356556.11</v>
      </c>
      <c r="R19" s="24">
        <f t="shared" si="4"/>
        <v>0</v>
      </c>
      <c r="S19" s="82"/>
      <c r="T19" s="30"/>
      <c r="U19" s="30"/>
      <c r="V19" s="30"/>
      <c r="W19" s="30"/>
      <c r="X19" s="30"/>
      <c r="Y19" s="30"/>
    </row>
    <row r="20" spans="1:25" s="31" customFormat="1" x14ac:dyDescent="0.2">
      <c r="A20" s="31">
        <v>229</v>
      </c>
      <c r="B20" s="31" t="s">
        <v>10</v>
      </c>
      <c r="C20" s="40"/>
      <c r="D20" s="40">
        <v>22602</v>
      </c>
      <c r="E20" s="43">
        <v>69102.960000000006</v>
      </c>
      <c r="F20" s="48">
        <f t="shared" si="0"/>
        <v>46500.960000000006</v>
      </c>
      <c r="G20" s="42">
        <v>12957.35</v>
      </c>
      <c r="H20" s="40">
        <v>0</v>
      </c>
      <c r="I20" s="40"/>
      <c r="J20" s="40"/>
      <c r="K20" s="44">
        <f t="shared" si="1"/>
        <v>0</v>
      </c>
      <c r="L20" s="63">
        <f t="shared" si="2"/>
        <v>12957.35</v>
      </c>
      <c r="M20" s="44">
        <v>11292</v>
      </c>
      <c r="N20" s="44"/>
      <c r="O20" s="44"/>
      <c r="P20" s="80">
        <v>1665.35</v>
      </c>
      <c r="Q20" s="81">
        <f t="shared" si="3"/>
        <v>12957.35</v>
      </c>
      <c r="R20" s="24">
        <f t="shared" si="4"/>
        <v>0</v>
      </c>
      <c r="S20" s="68"/>
      <c r="T20" s="30"/>
      <c r="U20" s="30"/>
      <c r="V20" s="30"/>
      <c r="W20" s="30"/>
      <c r="X20" s="30"/>
      <c r="Y20" s="30"/>
    </row>
    <row r="21" spans="1:25" s="100" customFormat="1" x14ac:dyDescent="0.2">
      <c r="A21" s="100">
        <v>302</v>
      </c>
      <c r="B21" s="100" t="s">
        <v>9</v>
      </c>
      <c r="C21" s="101"/>
      <c r="D21" s="101">
        <v>50020</v>
      </c>
      <c r="E21" s="102">
        <v>179637.16</v>
      </c>
      <c r="F21" s="103">
        <f t="shared" si="0"/>
        <v>129617.16</v>
      </c>
      <c r="G21" s="102">
        <v>679558.29</v>
      </c>
      <c r="H21" s="101">
        <v>613380</v>
      </c>
      <c r="I21" s="101"/>
      <c r="J21" s="101"/>
      <c r="K21" s="104">
        <f t="shared" si="1"/>
        <v>613380</v>
      </c>
      <c r="L21" s="104">
        <f t="shared" si="2"/>
        <v>1292938.29</v>
      </c>
      <c r="M21" s="104">
        <v>1200000</v>
      </c>
      <c r="N21" s="104"/>
      <c r="O21" s="104"/>
      <c r="P21" s="105">
        <v>92938.29</v>
      </c>
      <c r="Q21" s="105">
        <f t="shared" si="3"/>
        <v>1292938.29</v>
      </c>
      <c r="R21" s="106">
        <f t="shared" si="4"/>
        <v>0</v>
      </c>
      <c r="S21" s="107"/>
      <c r="T21" s="106"/>
      <c r="U21" s="106"/>
      <c r="V21" s="106"/>
      <c r="W21" s="106"/>
      <c r="X21" s="106"/>
      <c r="Y21" s="106"/>
    </row>
    <row r="22" spans="1:25" s="100" customFormat="1" x14ac:dyDescent="0.2">
      <c r="A22" s="100">
        <v>303</v>
      </c>
      <c r="B22" s="100" t="s">
        <v>48</v>
      </c>
      <c r="C22" s="101"/>
      <c r="D22" s="101">
        <v>0</v>
      </c>
      <c r="E22" s="102">
        <v>31143.150000000154</v>
      </c>
      <c r="F22" s="103">
        <f t="shared" si="0"/>
        <v>31143.150000000154</v>
      </c>
      <c r="G22" s="102">
        <v>298441.24</v>
      </c>
      <c r="H22" s="101">
        <v>2781538</v>
      </c>
      <c r="I22" s="101"/>
      <c r="J22" s="101"/>
      <c r="K22" s="104">
        <f t="shared" si="1"/>
        <v>2781538</v>
      </c>
      <c r="L22" s="104">
        <f t="shared" si="2"/>
        <v>3079979.24</v>
      </c>
      <c r="M22" s="104">
        <v>2960040</v>
      </c>
      <c r="N22" s="104"/>
      <c r="O22" s="104"/>
      <c r="P22" s="105">
        <v>119939.24</v>
      </c>
      <c r="Q22" s="105">
        <f t="shared" si="3"/>
        <v>3079979.24</v>
      </c>
      <c r="R22" s="106">
        <f t="shared" si="4"/>
        <v>0</v>
      </c>
      <c r="S22" s="107"/>
      <c r="T22" s="106"/>
      <c r="U22" s="106"/>
      <c r="V22" s="106"/>
      <c r="W22" s="106"/>
      <c r="X22" s="106"/>
      <c r="Y22" s="106"/>
    </row>
    <row r="23" spans="1:25" s="31" customFormat="1" x14ac:dyDescent="0.2">
      <c r="A23" s="31">
        <v>305</v>
      </c>
      <c r="B23" s="31" t="s">
        <v>11</v>
      </c>
      <c r="C23" s="40"/>
      <c r="D23" s="40">
        <v>901382</v>
      </c>
      <c r="E23" s="40">
        <v>599463.76</v>
      </c>
      <c r="F23" s="87">
        <f t="shared" si="0"/>
        <v>-301918.24</v>
      </c>
      <c r="G23" s="43">
        <v>1150673.54</v>
      </c>
      <c r="H23" s="40">
        <v>13256119</v>
      </c>
      <c r="I23" s="40"/>
      <c r="J23" s="40"/>
      <c r="K23" s="44">
        <f>SUM(H23:J23)</f>
        <v>13256119</v>
      </c>
      <c r="L23" s="44">
        <f>+G23+K23</f>
        <v>14406792.539999999</v>
      </c>
      <c r="M23" s="40">
        <v>13878792</v>
      </c>
      <c r="N23" s="40"/>
      <c r="O23" s="40"/>
      <c r="P23" s="80">
        <v>528000.54</v>
      </c>
      <c r="Q23" s="89">
        <f>SUM(M23:P23)</f>
        <v>14406792.539999999</v>
      </c>
      <c r="R23" s="30">
        <f t="shared" si="4"/>
        <v>0</v>
      </c>
      <c r="S23" s="69"/>
      <c r="T23" s="30"/>
      <c r="U23" s="30"/>
      <c r="V23" s="30"/>
      <c r="W23" s="30"/>
      <c r="X23" s="30"/>
      <c r="Y23" s="30"/>
    </row>
    <row r="24" spans="1:25" s="92" customFormat="1" x14ac:dyDescent="0.2">
      <c r="A24" s="92">
        <v>401</v>
      </c>
      <c r="B24" s="92" t="s">
        <v>65</v>
      </c>
      <c r="C24" s="93"/>
      <c r="D24" s="93">
        <v>22465</v>
      </c>
      <c r="E24" s="93">
        <v>1816284.39</v>
      </c>
      <c r="F24" s="94">
        <f t="shared" si="0"/>
        <v>1793819.39</v>
      </c>
      <c r="G24" s="95">
        <v>1606725.67</v>
      </c>
      <c r="H24" s="93">
        <v>3645512</v>
      </c>
      <c r="I24" s="93"/>
      <c r="J24" s="93"/>
      <c r="K24" s="96">
        <f>SUM(H24:J24)</f>
        <v>3645512</v>
      </c>
      <c r="L24" s="96">
        <f>+G24+K24</f>
        <v>5252237.67</v>
      </c>
      <c r="M24" s="93">
        <v>3198762</v>
      </c>
      <c r="N24" s="93"/>
      <c r="O24" s="93"/>
      <c r="P24" s="97"/>
      <c r="Q24" s="97">
        <f>SUM(M24:P24)</f>
        <v>3198762</v>
      </c>
      <c r="R24" s="98">
        <f t="shared" si="4"/>
        <v>2053475.67</v>
      </c>
      <c r="S24" s="99"/>
      <c r="T24" s="98"/>
      <c r="U24" s="98"/>
      <c r="V24" s="98"/>
      <c r="W24" s="98"/>
      <c r="X24" s="98"/>
      <c r="Y24" s="98"/>
    </row>
    <row r="25" spans="1:25" s="31" customFormat="1" x14ac:dyDescent="0.2">
      <c r="A25" s="31">
        <v>402</v>
      </c>
      <c r="B25" s="31" t="s">
        <v>66</v>
      </c>
      <c r="C25" s="40"/>
      <c r="D25" s="40">
        <v>30337</v>
      </c>
      <c r="E25" s="40">
        <v>53451.139999999665</v>
      </c>
      <c r="F25" s="48">
        <f t="shared" si="0"/>
        <v>23114.139999999665</v>
      </c>
      <c r="G25" s="42">
        <v>0.92</v>
      </c>
      <c r="H25" s="40">
        <v>3819704</v>
      </c>
      <c r="I25" s="40"/>
      <c r="J25" s="40"/>
      <c r="K25" s="44">
        <f>SUM(H25:J25)</f>
        <v>3819704</v>
      </c>
      <c r="L25" s="63">
        <f>+G25+K25</f>
        <v>3819704.92</v>
      </c>
      <c r="M25" s="40">
        <v>3677964</v>
      </c>
      <c r="N25" s="40"/>
      <c r="O25" s="40"/>
      <c r="P25" s="80"/>
      <c r="Q25" s="81">
        <f>SUM(M25:P25)</f>
        <v>3677964</v>
      </c>
      <c r="R25" s="24">
        <f t="shared" si="4"/>
        <v>141740.91999999993</v>
      </c>
      <c r="S25" s="68"/>
      <c r="T25" s="30"/>
      <c r="U25" s="30"/>
      <c r="V25" s="30"/>
      <c r="W25" s="30"/>
      <c r="X25" s="30"/>
      <c r="Y25" s="30"/>
    </row>
    <row r="26" spans="1:25" s="31" customFormat="1" x14ac:dyDescent="0.2">
      <c r="B26" s="31" t="s">
        <v>12</v>
      </c>
      <c r="C26" s="40">
        <v>144062700.22999999</v>
      </c>
      <c r="D26" s="40">
        <f t="shared" ref="D26:Q26" si="5">SUM(D9:D25)</f>
        <v>1981339</v>
      </c>
      <c r="E26" s="40">
        <f t="shared" si="5"/>
        <v>5297889.04</v>
      </c>
      <c r="F26" s="40">
        <f t="shared" si="5"/>
        <v>3316550.0399999996</v>
      </c>
      <c r="G26" s="40">
        <f t="shared" si="5"/>
        <v>5940675.2599999998</v>
      </c>
      <c r="H26" s="40">
        <f t="shared" si="5"/>
        <v>78715117</v>
      </c>
      <c r="I26" s="40">
        <f t="shared" si="5"/>
        <v>1455</v>
      </c>
      <c r="J26" s="40">
        <f t="shared" si="5"/>
        <v>0</v>
      </c>
      <c r="K26" s="40">
        <f t="shared" si="5"/>
        <v>78716572</v>
      </c>
      <c r="L26" s="40">
        <f t="shared" si="5"/>
        <v>84657247.260000005</v>
      </c>
      <c r="M26" s="40">
        <f t="shared" si="5"/>
        <v>81039673</v>
      </c>
      <c r="N26" s="40">
        <f t="shared" si="5"/>
        <v>1455</v>
      </c>
      <c r="O26" s="40">
        <f t="shared" si="5"/>
        <v>0</v>
      </c>
      <c r="P26" s="30">
        <f t="shared" si="5"/>
        <v>1226383.29</v>
      </c>
      <c r="Q26" s="30">
        <f t="shared" si="5"/>
        <v>82267511.289999992</v>
      </c>
      <c r="R26" s="24">
        <f t="shared" si="4"/>
        <v>2389735.9700000137</v>
      </c>
      <c r="S26" s="68"/>
      <c r="T26" s="30"/>
      <c r="U26" s="30"/>
      <c r="V26" s="30"/>
      <c r="W26" s="30"/>
      <c r="X26" s="30"/>
      <c r="Y26" s="30"/>
    </row>
    <row r="27" spans="1:25" s="31" customFormat="1" x14ac:dyDescent="0.2"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30"/>
      <c r="Q27" s="30"/>
      <c r="R27" s="30"/>
      <c r="S27" s="69"/>
      <c r="T27" s="30"/>
      <c r="U27" s="30"/>
      <c r="V27" s="30"/>
      <c r="W27" s="30"/>
      <c r="X27" s="30"/>
      <c r="Y27" s="30"/>
    </row>
    <row r="28" spans="1:25" s="31" customFormat="1" x14ac:dyDescent="0.2">
      <c r="A28" s="25">
        <v>102</v>
      </c>
      <c r="B28" s="25" t="s">
        <v>70</v>
      </c>
      <c r="C28" s="40"/>
      <c r="D28" s="40" t="s">
        <v>93</v>
      </c>
      <c r="E28" s="40"/>
      <c r="F28" s="40"/>
      <c r="G28" s="40" t="s">
        <v>110</v>
      </c>
      <c r="I28" s="40"/>
      <c r="J28" s="40"/>
      <c r="K28" s="40"/>
      <c r="L28" s="40"/>
      <c r="M28" s="40"/>
      <c r="N28" s="40"/>
      <c r="O28" s="40"/>
      <c r="P28" s="30">
        <v>1321381</v>
      </c>
      <c r="Q28" s="30" t="s">
        <v>163</v>
      </c>
      <c r="R28" s="30"/>
      <c r="S28" s="69"/>
      <c r="T28" s="30"/>
      <c r="U28" s="30"/>
      <c r="V28" s="30"/>
      <c r="W28" s="30"/>
      <c r="X28" s="30"/>
      <c r="Y28" s="30"/>
    </row>
    <row r="29" spans="1:25" s="31" customFormat="1" x14ac:dyDescent="0.2">
      <c r="A29" s="25">
        <v>103</v>
      </c>
      <c r="B29" s="25" t="s">
        <v>69</v>
      </c>
      <c r="C29" s="32"/>
      <c r="G29" s="40" t="s">
        <v>111</v>
      </c>
      <c r="I29" s="32"/>
      <c r="J29" s="32"/>
      <c r="K29" s="32"/>
      <c r="L29" s="32"/>
      <c r="M29" s="32"/>
      <c r="N29" s="32"/>
      <c r="O29" s="32"/>
      <c r="P29" s="33"/>
      <c r="Q29" s="33"/>
      <c r="R29" s="30"/>
      <c r="S29" s="69"/>
      <c r="T29" s="30"/>
      <c r="U29" s="30"/>
      <c r="V29" s="30"/>
      <c r="W29" s="30"/>
      <c r="X29" s="30"/>
      <c r="Y29" s="30"/>
    </row>
    <row r="30" spans="1:25" s="31" customFormat="1" hidden="1" x14ac:dyDescent="0.2">
      <c r="A30" s="25">
        <v>140</v>
      </c>
      <c r="B30" s="25" t="s">
        <v>68</v>
      </c>
      <c r="C30" s="32"/>
      <c r="G30" s="40" t="s">
        <v>101</v>
      </c>
      <c r="I30" s="32"/>
      <c r="J30" s="32"/>
      <c r="K30" s="32"/>
      <c r="L30" s="32"/>
      <c r="M30" s="32"/>
      <c r="N30" s="32"/>
      <c r="O30" s="32"/>
      <c r="P30" s="33"/>
      <c r="Q30" s="33"/>
      <c r="R30" s="30"/>
      <c r="S30" s="69"/>
      <c r="T30" s="30"/>
      <c r="U30" s="30"/>
      <c r="V30" s="30"/>
      <c r="W30" s="30"/>
      <c r="X30" s="30"/>
      <c r="Y30" s="30"/>
    </row>
    <row r="31" spans="1:25" s="31" customFormat="1" x14ac:dyDescent="0.2">
      <c r="A31" s="31">
        <v>202</v>
      </c>
      <c r="B31" s="31" t="s">
        <v>61</v>
      </c>
      <c r="C31" s="32"/>
      <c r="G31" s="40" t="s">
        <v>94</v>
      </c>
      <c r="I31" s="32"/>
      <c r="J31" s="32"/>
      <c r="K31" s="32"/>
      <c r="L31" s="32"/>
      <c r="M31" s="32"/>
      <c r="N31" s="32"/>
      <c r="O31" s="32"/>
      <c r="P31" s="33"/>
      <c r="Q31" s="33"/>
      <c r="R31" s="30"/>
      <c r="S31" s="69"/>
      <c r="T31" s="30"/>
      <c r="U31" s="30"/>
      <c r="V31" s="30"/>
      <c r="W31" s="30"/>
      <c r="X31" s="30"/>
      <c r="Y31" s="30"/>
    </row>
    <row r="32" spans="1:25" x14ac:dyDescent="0.2">
      <c r="A32" s="31">
        <v>209</v>
      </c>
      <c r="B32" s="31" t="s">
        <v>62</v>
      </c>
      <c r="F32" s="25"/>
      <c r="G32" s="28" t="s">
        <v>95</v>
      </c>
      <c r="H32" s="25"/>
      <c r="S32" s="69"/>
    </row>
    <row r="33" spans="1:25" s="31" customFormat="1" x14ac:dyDescent="0.2">
      <c r="A33" s="31">
        <v>210</v>
      </c>
      <c r="B33" s="31" t="s">
        <v>63</v>
      </c>
      <c r="C33" s="32"/>
      <c r="G33" s="40" t="s">
        <v>131</v>
      </c>
      <c r="I33" s="32"/>
      <c r="J33" s="32"/>
      <c r="K33" s="32"/>
      <c r="L33" s="32"/>
      <c r="M33" s="32"/>
      <c r="N33" s="32"/>
      <c r="O33" s="32"/>
      <c r="P33" s="33"/>
      <c r="Q33" s="33"/>
      <c r="R33" s="30"/>
      <c r="S33" s="68"/>
      <c r="T33" s="30"/>
      <c r="U33" s="30"/>
      <c r="V33" s="30"/>
      <c r="W33" s="30"/>
      <c r="X33" s="30"/>
      <c r="Y33" s="30"/>
    </row>
    <row r="34" spans="1:25" s="31" customFormat="1" x14ac:dyDescent="0.2">
      <c r="A34" s="31">
        <v>211</v>
      </c>
      <c r="B34" s="31" t="s">
        <v>108</v>
      </c>
      <c r="C34" s="32"/>
      <c r="G34" s="40" t="s">
        <v>132</v>
      </c>
      <c r="I34" s="32"/>
      <c r="J34" s="32"/>
      <c r="K34" s="32"/>
      <c r="L34" s="32"/>
      <c r="M34" s="32"/>
      <c r="N34" s="32"/>
      <c r="O34" s="32"/>
      <c r="P34" s="33"/>
      <c r="Q34" s="33"/>
      <c r="R34" s="30"/>
      <c r="S34" s="69"/>
      <c r="T34" s="30"/>
      <c r="U34" s="30"/>
      <c r="V34" s="30"/>
      <c r="W34" s="30"/>
      <c r="X34" s="30"/>
      <c r="Y34" s="30"/>
    </row>
    <row r="35" spans="1:25" x14ac:dyDescent="0.2">
      <c r="A35" s="31">
        <v>219</v>
      </c>
      <c r="B35" s="31" t="s">
        <v>64</v>
      </c>
      <c r="F35" s="25"/>
      <c r="G35" s="28" t="s">
        <v>99</v>
      </c>
      <c r="H35" s="25"/>
      <c r="S35" s="69"/>
    </row>
    <row r="36" spans="1:25" x14ac:dyDescent="0.2">
      <c r="A36" s="31">
        <v>226</v>
      </c>
      <c r="B36" s="31" t="s">
        <v>8</v>
      </c>
      <c r="F36" s="25"/>
      <c r="G36" s="28" t="s">
        <v>96</v>
      </c>
      <c r="H36" s="25"/>
    </row>
    <row r="37" spans="1:25" x14ac:dyDescent="0.2">
      <c r="A37" s="31">
        <v>228</v>
      </c>
      <c r="B37" s="31" t="s">
        <v>67</v>
      </c>
      <c r="G37" s="28" t="s">
        <v>97</v>
      </c>
      <c r="H37" s="25"/>
    </row>
    <row r="38" spans="1:25" x14ac:dyDescent="0.2">
      <c r="A38" s="31">
        <v>229</v>
      </c>
      <c r="B38" s="31" t="s">
        <v>10</v>
      </c>
      <c r="G38" s="28" t="s">
        <v>98</v>
      </c>
      <c r="H38" s="25"/>
    </row>
    <row r="39" spans="1:25" x14ac:dyDescent="0.2">
      <c r="A39" s="31">
        <v>305</v>
      </c>
      <c r="B39" s="31" t="s">
        <v>11</v>
      </c>
      <c r="D39" s="28" t="s">
        <v>100</v>
      </c>
      <c r="G39" s="4" t="s">
        <v>109</v>
      </c>
      <c r="H39" s="25"/>
    </row>
    <row r="40" spans="1:25" x14ac:dyDescent="0.2">
      <c r="A40" s="25"/>
      <c r="B40" s="25"/>
      <c r="H40" s="53"/>
      <c r="I40" s="53"/>
      <c r="J40" s="53"/>
      <c r="K40" s="60"/>
      <c r="L40" s="60"/>
    </row>
    <row r="41" spans="1:25" x14ac:dyDescent="0.2">
      <c r="A41" s="64" t="s">
        <v>117</v>
      </c>
      <c r="B41" s="6" t="s">
        <v>159</v>
      </c>
      <c r="D41" s="6"/>
      <c r="E41" s="4"/>
      <c r="H41" s="28"/>
      <c r="I41" s="28"/>
      <c r="J41" s="28"/>
    </row>
    <row r="42" spans="1:25" x14ac:dyDescent="0.2">
      <c r="D42" s="6"/>
      <c r="E42" s="4"/>
      <c r="H42" s="28"/>
      <c r="I42" s="28"/>
      <c r="J42" s="28"/>
    </row>
    <row r="43" spans="1:25" x14ac:dyDescent="0.2">
      <c r="B43" s="7" t="s">
        <v>137</v>
      </c>
      <c r="D43" s="6"/>
      <c r="E43" s="4"/>
      <c r="G43" s="70" t="s">
        <v>155</v>
      </c>
      <c r="H43" s="70" t="s">
        <v>133</v>
      </c>
      <c r="I43" s="70" t="s">
        <v>134</v>
      </c>
      <c r="J43" s="28" t="s">
        <v>156</v>
      </c>
      <c r="K43" s="32" t="s">
        <v>157</v>
      </c>
      <c r="L43" s="32" t="s">
        <v>140</v>
      </c>
    </row>
    <row r="44" spans="1:25" x14ac:dyDescent="0.2">
      <c r="A44" s="6">
        <v>5540</v>
      </c>
      <c r="B44" s="6" t="s">
        <v>120</v>
      </c>
      <c r="D44" s="6"/>
      <c r="E44" s="4"/>
      <c r="G44" s="28">
        <v>9484</v>
      </c>
      <c r="H44" s="28">
        <v>1316</v>
      </c>
      <c r="I44" s="28">
        <f>SUM(G44:H44)</f>
        <v>10800</v>
      </c>
      <c r="J44" s="28"/>
      <c r="K44" s="32">
        <v>10800</v>
      </c>
      <c r="L44" s="32">
        <f>+K44-J44</f>
        <v>10800</v>
      </c>
    </row>
    <row r="45" spans="1:25" x14ac:dyDescent="0.2">
      <c r="A45" s="6">
        <v>5690</v>
      </c>
      <c r="B45" s="6" t="s">
        <v>121</v>
      </c>
      <c r="D45" s="6"/>
      <c r="E45" s="4"/>
      <c r="G45" s="28">
        <v>19600.060000000001</v>
      </c>
      <c r="H45" s="28">
        <v>19500</v>
      </c>
      <c r="I45" s="28">
        <f t="shared" ref="I45:I59" si="6">SUM(G45:H45)</f>
        <v>39100.06</v>
      </c>
      <c r="J45" s="28"/>
      <c r="K45" s="32">
        <v>39100</v>
      </c>
      <c r="L45" s="32">
        <f t="shared" ref="L45:L60" si="7">+K45-J45</f>
        <v>39100</v>
      </c>
    </row>
    <row r="46" spans="1:25" x14ac:dyDescent="0.2">
      <c r="A46" s="6">
        <v>5691</v>
      </c>
      <c r="B46" s="6" t="s">
        <v>122</v>
      </c>
      <c r="D46" s="6"/>
      <c r="E46" s="4"/>
      <c r="G46" s="28">
        <v>14523.3</v>
      </c>
      <c r="H46" s="28">
        <v>19500</v>
      </c>
      <c r="I46" s="28">
        <f t="shared" si="6"/>
        <v>34023.300000000003</v>
      </c>
      <c r="J46" s="28"/>
      <c r="K46" s="32">
        <v>34023</v>
      </c>
      <c r="L46" s="32">
        <f t="shared" si="7"/>
        <v>34023</v>
      </c>
    </row>
    <row r="47" spans="1:25" x14ac:dyDescent="0.2">
      <c r="A47" s="6">
        <v>5692</v>
      </c>
      <c r="B47" s="6" t="s">
        <v>123</v>
      </c>
      <c r="D47" s="6"/>
      <c r="E47" s="4"/>
      <c r="G47" s="28">
        <v>6605.65</v>
      </c>
      <c r="H47" s="28">
        <v>9500</v>
      </c>
      <c r="I47" s="28">
        <f t="shared" si="6"/>
        <v>16105.65</v>
      </c>
      <c r="J47" s="28"/>
      <c r="K47" s="32">
        <v>16106</v>
      </c>
      <c r="L47" s="32">
        <f t="shared" si="7"/>
        <v>16106</v>
      </c>
    </row>
    <row r="48" spans="1:25" x14ac:dyDescent="0.2">
      <c r="A48" s="6">
        <v>5693</v>
      </c>
      <c r="B48" s="6" t="s">
        <v>124</v>
      </c>
      <c r="D48" s="6"/>
      <c r="E48" s="4"/>
      <c r="G48" s="28">
        <v>24911.71</v>
      </c>
      <c r="H48" s="28">
        <v>19500</v>
      </c>
      <c r="I48" s="28">
        <f t="shared" si="6"/>
        <v>44411.71</v>
      </c>
      <c r="J48" s="28"/>
      <c r="K48" s="32">
        <v>44412</v>
      </c>
      <c r="L48" s="32">
        <f t="shared" si="7"/>
        <v>44412</v>
      </c>
    </row>
    <row r="49" spans="1:25" x14ac:dyDescent="0.2">
      <c r="A49" s="6">
        <v>5694</v>
      </c>
      <c r="B49" s="6" t="s">
        <v>125</v>
      </c>
      <c r="D49" s="6"/>
      <c r="E49" s="4"/>
      <c r="G49" s="28">
        <v>43836.65</v>
      </c>
      <c r="H49" s="28">
        <v>19500</v>
      </c>
      <c r="I49" s="28">
        <f t="shared" si="6"/>
        <v>63336.65</v>
      </c>
      <c r="J49" s="28"/>
      <c r="K49" s="32">
        <v>63337</v>
      </c>
      <c r="L49" s="32">
        <f t="shared" si="7"/>
        <v>63337</v>
      </c>
    </row>
    <row r="50" spans="1:25" x14ac:dyDescent="0.2">
      <c r="A50" s="6">
        <v>5695</v>
      </c>
      <c r="B50" s="6" t="s">
        <v>127</v>
      </c>
      <c r="D50" s="6"/>
      <c r="E50" s="4"/>
      <c r="G50" s="28">
        <v>22258</v>
      </c>
      <c r="H50" s="28">
        <v>9750</v>
      </c>
      <c r="I50" s="28">
        <f t="shared" si="6"/>
        <v>32008</v>
      </c>
      <c r="J50" s="28"/>
      <c r="K50" s="32">
        <v>32008</v>
      </c>
      <c r="L50" s="32">
        <f t="shared" si="7"/>
        <v>32008</v>
      </c>
    </row>
    <row r="51" spans="1:25" x14ac:dyDescent="0.2">
      <c r="A51" s="6">
        <v>5699</v>
      </c>
      <c r="B51" s="6" t="s">
        <v>126</v>
      </c>
      <c r="D51" s="6"/>
      <c r="E51" s="4"/>
      <c r="G51" s="28">
        <v>2896.34</v>
      </c>
      <c r="H51" s="28">
        <v>1659</v>
      </c>
      <c r="I51" s="28">
        <f t="shared" si="6"/>
        <v>4555.34</v>
      </c>
      <c r="J51" s="28"/>
      <c r="K51" s="32">
        <v>4555</v>
      </c>
      <c r="L51" s="32">
        <f t="shared" si="7"/>
        <v>4555</v>
      </c>
    </row>
    <row r="52" spans="1:25" s="100" customFormat="1" x14ac:dyDescent="0.2">
      <c r="A52" s="108">
        <v>8001</v>
      </c>
      <c r="B52" s="108" t="s">
        <v>135</v>
      </c>
      <c r="C52" s="109"/>
      <c r="D52" s="101"/>
      <c r="E52" s="101"/>
      <c r="F52" s="101"/>
      <c r="G52" s="101">
        <f>2783.11+1231</f>
        <v>4014.11</v>
      </c>
      <c r="H52" s="109">
        <v>0</v>
      </c>
      <c r="I52" s="101">
        <f t="shared" si="6"/>
        <v>4014.11</v>
      </c>
      <c r="J52" s="109">
        <v>186803</v>
      </c>
      <c r="K52" s="109">
        <v>4014</v>
      </c>
      <c r="L52" s="109">
        <f t="shared" si="7"/>
        <v>-182789</v>
      </c>
      <c r="M52" s="109" t="s">
        <v>161</v>
      </c>
      <c r="N52" s="109"/>
      <c r="O52" s="109"/>
      <c r="P52" s="110"/>
      <c r="Q52" s="110" t="s">
        <v>164</v>
      </c>
      <c r="R52" s="106"/>
      <c r="S52" s="107"/>
      <c r="T52" s="106"/>
      <c r="U52" s="106"/>
      <c r="V52" s="106"/>
      <c r="W52" s="106"/>
      <c r="X52" s="106"/>
      <c r="Y52" s="106"/>
    </row>
    <row r="53" spans="1:25" x14ac:dyDescent="0.2">
      <c r="G53" s="28">
        <f>SUM(G44:G52)</f>
        <v>148129.81999999998</v>
      </c>
      <c r="H53" s="28">
        <f>SUM(H44:H52)</f>
        <v>100225</v>
      </c>
      <c r="I53" s="28">
        <f>SUM(I44:I52)</f>
        <v>248354.81999999998</v>
      </c>
      <c r="J53" s="28">
        <f>SUM(J44:J52)</f>
        <v>186803</v>
      </c>
      <c r="K53" s="28">
        <f>SUM(K44:K52)</f>
        <v>248355</v>
      </c>
      <c r="L53" s="32">
        <f>+K53-J53</f>
        <v>61552</v>
      </c>
    </row>
    <row r="54" spans="1:25" x14ac:dyDescent="0.2">
      <c r="B54" s="7" t="s">
        <v>138</v>
      </c>
      <c r="G54" s="25"/>
      <c r="H54" s="25"/>
      <c r="I54" s="25"/>
      <c r="J54" s="25"/>
      <c r="K54" s="25"/>
      <c r="L54" s="28"/>
      <c r="M54" s="25"/>
      <c r="N54" s="25"/>
    </row>
    <row r="55" spans="1:25" x14ac:dyDescent="0.2">
      <c r="A55" s="6">
        <v>8001</v>
      </c>
      <c r="B55" s="6" t="s">
        <v>128</v>
      </c>
      <c r="G55" s="28">
        <f>127824-42936-20831.94-2464.05-209.39+2090.8</f>
        <v>63473.42</v>
      </c>
      <c r="H55" s="4">
        <v>30100</v>
      </c>
      <c r="I55" s="28">
        <f t="shared" si="6"/>
        <v>93573.42</v>
      </c>
      <c r="J55" s="4">
        <v>107606</v>
      </c>
      <c r="K55" s="32">
        <v>93573</v>
      </c>
      <c r="L55" s="32">
        <f t="shared" si="7"/>
        <v>-14033</v>
      </c>
    </row>
    <row r="56" spans="1:25" x14ac:dyDescent="0.2">
      <c r="A56" s="6">
        <v>8218</v>
      </c>
      <c r="B56" s="52" t="s">
        <v>129</v>
      </c>
      <c r="C56" s="52"/>
      <c r="D56" s="35"/>
      <c r="G56" s="28">
        <v>4127.5600000000004</v>
      </c>
      <c r="I56" s="28">
        <f t="shared" si="6"/>
        <v>4127.5600000000004</v>
      </c>
      <c r="J56" s="4">
        <v>789</v>
      </c>
      <c r="K56" s="32">
        <v>4128</v>
      </c>
      <c r="L56" s="32">
        <f t="shared" si="7"/>
        <v>3339</v>
      </c>
    </row>
    <row r="57" spans="1:25" x14ac:dyDescent="0.2">
      <c r="B57" s="52"/>
      <c r="C57" s="52"/>
      <c r="D57" s="35"/>
      <c r="I57" s="28"/>
    </row>
    <row r="58" spans="1:25" x14ac:dyDescent="0.2">
      <c r="B58" s="7" t="s">
        <v>139</v>
      </c>
      <c r="C58" s="52"/>
      <c r="D58" s="35"/>
      <c r="I58" s="28"/>
      <c r="L58" s="32">
        <f t="shared" si="7"/>
        <v>0</v>
      </c>
    </row>
    <row r="59" spans="1:25" x14ac:dyDescent="0.2">
      <c r="A59" s="6">
        <v>8217</v>
      </c>
      <c r="B59" s="52" t="s">
        <v>162</v>
      </c>
      <c r="C59" s="52"/>
      <c r="D59" s="35"/>
      <c r="I59" s="28">
        <f t="shared" si="6"/>
        <v>0</v>
      </c>
      <c r="J59" s="4">
        <v>7500</v>
      </c>
      <c r="K59" s="32">
        <v>7500</v>
      </c>
      <c r="L59" s="32">
        <f t="shared" si="7"/>
        <v>0</v>
      </c>
    </row>
    <row r="60" spans="1:25" x14ac:dyDescent="0.2">
      <c r="A60" s="6">
        <v>8213</v>
      </c>
      <c r="B60" s="52" t="s">
        <v>160</v>
      </c>
      <c r="C60" s="52"/>
      <c r="D60" s="35"/>
      <c r="G60" s="28">
        <v>3000</v>
      </c>
      <c r="I60" s="28"/>
      <c r="K60" s="32">
        <v>3000</v>
      </c>
      <c r="L60" s="32">
        <f t="shared" si="7"/>
        <v>3000</v>
      </c>
    </row>
    <row r="61" spans="1:25" s="34" customFormat="1" x14ac:dyDescent="0.2">
      <c r="A61" s="7"/>
      <c r="B61" s="90"/>
      <c r="C61" s="90"/>
      <c r="D61" s="91"/>
      <c r="E61" s="36"/>
      <c r="F61" s="36"/>
      <c r="G61" s="36"/>
      <c r="H61" s="10"/>
      <c r="I61" s="36"/>
      <c r="J61" s="10"/>
      <c r="K61" s="57"/>
      <c r="L61" s="57"/>
      <c r="M61" s="57"/>
      <c r="N61" s="57"/>
      <c r="O61" s="57"/>
      <c r="P61" s="75"/>
      <c r="Q61" s="75"/>
      <c r="R61" s="29"/>
      <c r="S61" s="67"/>
      <c r="T61" s="29"/>
      <c r="U61" s="29"/>
      <c r="V61" s="29"/>
      <c r="W61" s="29"/>
      <c r="X61" s="29"/>
      <c r="Y61" s="29"/>
    </row>
    <row r="62" spans="1:25" x14ac:dyDescent="0.2">
      <c r="B62" s="52" t="s">
        <v>136</v>
      </c>
      <c r="C62" s="52"/>
      <c r="D62" s="35"/>
      <c r="G62" s="28">
        <f t="shared" ref="G62:L62" si="8">SUM(G53:G61)</f>
        <v>218730.8</v>
      </c>
      <c r="H62" s="28">
        <f t="shared" si="8"/>
        <v>130325</v>
      </c>
      <c r="I62" s="28">
        <f t="shared" si="8"/>
        <v>346055.8</v>
      </c>
      <c r="J62" s="28">
        <f t="shared" si="8"/>
        <v>302698</v>
      </c>
      <c r="K62" s="28">
        <f t="shared" si="8"/>
        <v>356556</v>
      </c>
      <c r="L62" s="28">
        <f t="shared" si="8"/>
        <v>53858</v>
      </c>
    </row>
    <row r="63" spans="1:25" x14ac:dyDescent="0.2">
      <c r="B63" s="52"/>
      <c r="C63" s="52"/>
      <c r="D63" s="35"/>
    </row>
    <row r="64" spans="1:25" x14ac:dyDescent="0.2">
      <c r="B64" s="52"/>
      <c r="C64" s="52"/>
      <c r="D64" s="35"/>
    </row>
    <row r="65" spans="2:12" x14ac:dyDescent="0.2">
      <c r="B65" s="52"/>
      <c r="C65" s="35"/>
      <c r="D65" s="35"/>
      <c r="H65" s="10"/>
      <c r="I65" s="10"/>
      <c r="J65" s="10" t="s">
        <v>145</v>
      </c>
      <c r="K65" s="57" t="s">
        <v>146</v>
      </c>
      <c r="L65" s="57"/>
    </row>
    <row r="66" spans="2:12" x14ac:dyDescent="0.2">
      <c r="B66" s="35"/>
      <c r="C66" s="52"/>
      <c r="D66" s="35"/>
      <c r="H66" s="10">
        <v>210</v>
      </c>
      <c r="I66" s="10" t="s">
        <v>148</v>
      </c>
      <c r="J66" s="10" t="s">
        <v>149</v>
      </c>
      <c r="K66" s="57" t="s">
        <v>149</v>
      </c>
      <c r="L66" s="57" t="s">
        <v>43</v>
      </c>
    </row>
    <row r="67" spans="2:12" x14ac:dyDescent="0.2">
      <c r="B67" s="52"/>
      <c r="C67" s="52"/>
      <c r="D67" s="35"/>
      <c r="H67" s="4" t="s">
        <v>142</v>
      </c>
      <c r="I67" s="4">
        <v>598822.18000000005</v>
      </c>
      <c r="K67" s="32">
        <v>549803</v>
      </c>
      <c r="L67" s="32">
        <f>+I67+J67-K67</f>
        <v>49019.180000000051</v>
      </c>
    </row>
    <row r="68" spans="2:12" x14ac:dyDescent="0.2">
      <c r="B68" s="52"/>
      <c r="C68" s="52"/>
      <c r="D68" s="35"/>
      <c r="H68" s="4" t="s">
        <v>143</v>
      </c>
      <c r="L68" s="32">
        <f>+I68+J68-K68</f>
        <v>0</v>
      </c>
    </row>
    <row r="69" spans="2:12" x14ac:dyDescent="0.2">
      <c r="B69" s="52"/>
      <c r="C69" s="52"/>
      <c r="D69" s="35"/>
      <c r="H69" s="4" t="s">
        <v>144</v>
      </c>
      <c r="I69" s="4">
        <f>118946.66+750</f>
        <v>119696.66</v>
      </c>
      <c r="J69" s="4">
        <f>31550+25000</f>
        <v>56550</v>
      </c>
      <c r="K69" s="32">
        <v>74133</v>
      </c>
      <c r="L69" s="32">
        <f>+I69+J69-K69</f>
        <v>102113.66</v>
      </c>
    </row>
    <row r="70" spans="2:12" x14ac:dyDescent="0.2">
      <c r="B70" s="52"/>
      <c r="C70" s="52"/>
      <c r="D70" s="35"/>
      <c r="H70" s="4" t="s">
        <v>12</v>
      </c>
      <c r="I70" s="4">
        <f>SUM(I67:I69)</f>
        <v>718518.84000000008</v>
      </c>
      <c r="J70" s="4">
        <f>SUM(J67:J69)</f>
        <v>56550</v>
      </c>
      <c r="K70" s="4">
        <f>SUM(K67:K69)</f>
        <v>623936</v>
      </c>
      <c r="L70" s="4">
        <f>SUM(L67:L69)</f>
        <v>151132.84000000005</v>
      </c>
    </row>
    <row r="71" spans="2:12" x14ac:dyDescent="0.2">
      <c r="B71" s="35"/>
      <c r="C71" s="52"/>
      <c r="D71" s="35"/>
      <c r="H71" s="4" t="s">
        <v>158</v>
      </c>
      <c r="I71" s="4">
        <f>-+G15</f>
        <v>-718518.71</v>
      </c>
      <c r="J71" s="4">
        <f>+J70+I70</f>
        <v>775068.84000000008</v>
      </c>
    </row>
    <row r="72" spans="2:12" x14ac:dyDescent="0.2">
      <c r="B72" s="52"/>
      <c r="C72" s="52"/>
      <c r="D72" s="35"/>
      <c r="I72" s="4">
        <f>SUM(I70:I71)</f>
        <v>0.13000000012107193</v>
      </c>
    </row>
    <row r="73" spans="2:12" x14ac:dyDescent="0.2">
      <c r="B73" s="52"/>
      <c r="C73" s="52"/>
      <c r="D73" s="35"/>
    </row>
    <row r="74" spans="2:12" x14ac:dyDescent="0.2">
      <c r="B74" s="52"/>
      <c r="C74" s="35"/>
      <c r="D74" s="35"/>
    </row>
    <row r="75" spans="2:12" x14ac:dyDescent="0.2">
      <c r="B75" s="52"/>
      <c r="C75" s="52"/>
      <c r="D75" s="35"/>
    </row>
    <row r="76" spans="2:12" x14ac:dyDescent="0.2">
      <c r="B76" s="35"/>
      <c r="C76" s="35"/>
      <c r="D76" s="35"/>
    </row>
    <row r="77" spans="2:12" x14ac:dyDescent="0.2">
      <c r="B77" s="35"/>
      <c r="C77" s="35"/>
      <c r="D77" s="35"/>
    </row>
  </sheetData>
  <mergeCells count="1">
    <mergeCell ref="A6:B6"/>
  </mergeCells>
  <phoneticPr fontId="3" type="noConversion"/>
  <pageMargins left="0.25" right="0.25" top="0.25" bottom="0.25" header="0" footer="0"/>
  <pageSetup paperSize="17" scale="84" orientation="landscape" r:id="rId1"/>
  <headerFooter alignWithMargins="0"/>
  <colBreaks count="1" manualBreakCount="1">
    <brk id="20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FUND BAL</vt:lpstr>
      <vt:lpstr>GEN FUND</vt:lpstr>
      <vt:lpstr>DEPT EXP</vt:lpstr>
      <vt:lpstr>APPROP SUPP</vt:lpstr>
      <vt:lpstr>appropriation adj</vt:lpstr>
      <vt:lpstr>'appropriation adj'!Print_Area</vt:lpstr>
      <vt:lpstr>'DEPT EXP'!Print_Area</vt:lpstr>
      <vt:lpstr>'FUND BAL'!Print_Area</vt:lpstr>
      <vt:lpstr>'GEN FUND'!Print_Area</vt:lpstr>
      <vt:lpstr>'appropriation adj'!Print_Titles</vt:lpstr>
      <vt:lpstr>'FUND BAL'!Print_Titles</vt:lpstr>
    </vt:vector>
  </TitlesOfParts>
  <Company>County of Dinwiddie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Administration Office</dc:creator>
  <cp:lastModifiedBy>Jeanette Johnson</cp:lastModifiedBy>
  <cp:lastPrinted>2020-02-09T15:56:04Z</cp:lastPrinted>
  <dcterms:created xsi:type="dcterms:W3CDTF">2004-10-26T14:00:59Z</dcterms:created>
  <dcterms:modified xsi:type="dcterms:W3CDTF">2022-07-25T16:17:20Z</dcterms:modified>
</cp:coreProperties>
</file>